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comments4.xml" ContentType="application/vnd.openxmlformats-officedocument.spreadsheetml.comments+xml"/>
  <Override PartName="/xl/drawings/drawing5.xml" ContentType="application/vnd.openxmlformats-officedocument.drawing+xml"/>
  <Override PartName="/xl/comments5.xml" ContentType="application/vnd.openxmlformats-officedocument.spreadsheetml.comments+xml"/>
  <Override PartName="/xl/drawings/drawing6.xml" ContentType="application/vnd.openxmlformats-officedocument.drawing+xml"/>
  <Override PartName="/xl/comments6.xml" ContentType="application/vnd.openxmlformats-officedocument.spreadsheetml.comments+xml"/>
  <Override PartName="/xl/drawings/drawing7.xml" ContentType="application/vnd.openxmlformats-officedocument.drawing+xml"/>
  <Override PartName="/xl/comments7.xml" ContentType="application/vnd.openxmlformats-officedocument.spreadsheetml.comments+xml"/>
  <Override PartName="/xl/drawings/drawing8.xml" ContentType="application/vnd.openxmlformats-officedocument.drawing+xml"/>
  <Override PartName="/xl/comments8.xml" ContentType="application/vnd.openxmlformats-officedocument.spreadsheetml.comments+xml"/>
  <Override PartName="/xl/drawings/drawing9.xml" ContentType="application/vnd.openxmlformats-officedocument.drawing+xml"/>
  <Override PartName="/xl/comments9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11028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/Users/edgarkruger/Desktop/Desktop/safety sheets/safety sheets/2023/"/>
    </mc:Choice>
  </mc:AlternateContent>
  <xr:revisionPtr revIDLastSave="0" documentId="8_{C2481378-C71D-7C43-A05D-BA094EFC4EC9}" xr6:coauthVersionLast="47" xr6:coauthVersionMax="47" xr10:uidLastSave="{00000000-0000-0000-0000-000000000000}"/>
  <bookViews>
    <workbookView xWindow="37360" yWindow="500" windowWidth="34560" windowHeight="20420" xr2:uid="{00000000-000D-0000-FFFF-FFFF00000000}"/>
  </bookViews>
  <sheets>
    <sheet name="CiRAY with FR AR" sheetId="1" r:id="rId1"/>
    <sheet name="CiRAY with FRT AR" sheetId="30" r:id="rId2"/>
    <sheet name="SCV F+CiRAY" sheetId="3" r:id="rId3"/>
    <sheet name="SC2 F+CiRAY" sheetId="23" r:id="rId4"/>
    <sheet name="CiRAY+SCV F+CiRAY" sheetId="35" r:id="rId5"/>
    <sheet name="CiRAY+SC2 F+CiRAY" sheetId="36" r:id="rId6"/>
    <sheet name="SCV F+CiRAY with CR LINK" sheetId="26" r:id="rId7"/>
    <sheet name="SC2 F+CiRAY with CR LINK" sheetId="25" r:id="rId8"/>
    <sheet name="CiRAY+ViRAY with VR AR LINK" sheetId="20" r:id="rId9"/>
  </sheets>
  <definedNames>
    <definedName name="_xlnm._FilterDatabase" localSheetId="0" hidden="1">'CiRAY with FR AR'!$AS$142:$AS$143</definedName>
    <definedName name="_xlnm._FilterDatabase" localSheetId="1" hidden="1">'CiRAY with FRT AR'!$AR$142:$AR$143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U180" i="20" l="1"/>
  <c r="AT180" i="20"/>
  <c r="AS180" i="20"/>
  <c r="AR180" i="20"/>
  <c r="AQ180" i="20"/>
  <c r="AP180" i="20"/>
  <c r="AO180" i="20"/>
  <c r="AN180" i="20"/>
  <c r="AM180" i="20"/>
  <c r="AL180" i="20"/>
  <c r="AK180" i="20"/>
  <c r="AJ180" i="20"/>
  <c r="AY170" i="25"/>
  <c r="AY156" i="26"/>
  <c r="AV179" i="20" l="1"/>
  <c r="AY182" i="20" s="1"/>
  <c r="J160" i="25"/>
  <c r="K160" i="25" s="1"/>
  <c r="L160" i="25" s="1"/>
  <c r="M160" i="25" s="1"/>
  <c r="N160" i="25" s="1"/>
  <c r="V160" i="25"/>
  <c r="AE160" i="25" s="1"/>
  <c r="AH160" i="25"/>
  <c r="AI160" i="25" s="1"/>
  <c r="AJ160" i="25" s="1"/>
  <c r="AK160" i="25" s="1"/>
  <c r="AP160" i="25"/>
  <c r="J161" i="25"/>
  <c r="K161" i="25" s="1"/>
  <c r="L161" i="25" s="1"/>
  <c r="M161" i="25" s="1"/>
  <c r="N161" i="25" s="1"/>
  <c r="V161" i="25"/>
  <c r="AH161" i="25"/>
  <c r="AL161" i="25" s="1"/>
  <c r="AM161" i="25" s="1"/>
  <c r="AN161" i="25" s="1"/>
  <c r="AP161" i="25"/>
  <c r="AI161" i="25" l="1"/>
  <c r="AJ161" i="25" s="1"/>
  <c r="AK161" i="25" s="1"/>
  <c r="AR161" i="25" s="1"/>
  <c r="AS161" i="25"/>
  <c r="AL160" i="25"/>
  <c r="AM160" i="25" s="1"/>
  <c r="AN160" i="25" s="1"/>
  <c r="AS160" i="25" s="1"/>
  <c r="AE161" i="25"/>
  <c r="AF160" i="25"/>
  <c r="AF161" i="25"/>
  <c r="AR160" i="25" l="1"/>
  <c r="AU161" i="25"/>
  <c r="AU160" i="25"/>
  <c r="AQ141" i="36" l="1"/>
  <c r="AQ142" i="36"/>
  <c r="AQ143" i="36"/>
  <c r="AQ144" i="36"/>
  <c r="AQ145" i="36"/>
  <c r="AQ146" i="36"/>
  <c r="AQ147" i="36"/>
  <c r="AQ148" i="36"/>
  <c r="AQ149" i="36"/>
  <c r="AQ150" i="36"/>
  <c r="AQ151" i="36"/>
  <c r="AQ152" i="36"/>
  <c r="AQ153" i="36"/>
  <c r="AQ154" i="36"/>
  <c r="AQ155" i="36"/>
  <c r="AQ156" i="36"/>
  <c r="AQ157" i="36"/>
  <c r="AQ158" i="36"/>
  <c r="AQ159" i="36"/>
  <c r="AQ160" i="36"/>
  <c r="AQ161" i="36"/>
  <c r="AQ162" i="36"/>
  <c r="AQ163" i="36"/>
  <c r="AQ164" i="36"/>
  <c r="AQ140" i="36"/>
  <c r="AQ139" i="36"/>
  <c r="J159" i="36"/>
  <c r="K159" i="36" s="1"/>
  <c r="L159" i="36" s="1"/>
  <c r="M159" i="36" s="1"/>
  <c r="N159" i="36" s="1"/>
  <c r="J160" i="36"/>
  <c r="K160" i="36" s="1"/>
  <c r="L160" i="36" s="1"/>
  <c r="M160" i="36" s="1"/>
  <c r="N160" i="36" s="1"/>
  <c r="J161" i="36"/>
  <c r="K161" i="36" s="1"/>
  <c r="L161" i="36" s="1"/>
  <c r="M161" i="36" s="1"/>
  <c r="N161" i="36" s="1"/>
  <c r="J162" i="36"/>
  <c r="K162" i="36" s="1"/>
  <c r="L162" i="36" s="1"/>
  <c r="M162" i="36" s="1"/>
  <c r="N162" i="36" s="1"/>
  <c r="J163" i="36"/>
  <c r="K163" i="36" s="1"/>
  <c r="L163" i="36" s="1"/>
  <c r="M163" i="36" s="1"/>
  <c r="N163" i="36" s="1"/>
  <c r="J164" i="36"/>
  <c r="K164" i="36" s="1"/>
  <c r="L164" i="36" s="1"/>
  <c r="M164" i="36" s="1"/>
  <c r="N164" i="36" s="1"/>
  <c r="C16" i="36"/>
  <c r="AQ226" i="36"/>
  <c r="J226" i="36"/>
  <c r="K226" i="36" s="1"/>
  <c r="L226" i="36" s="1"/>
  <c r="M226" i="36" s="1"/>
  <c r="N226" i="36" s="1"/>
  <c r="AQ225" i="36"/>
  <c r="J225" i="36"/>
  <c r="K225" i="36" s="1"/>
  <c r="L225" i="36" s="1"/>
  <c r="M225" i="36" s="1"/>
  <c r="N225" i="36" s="1"/>
  <c r="AQ224" i="36"/>
  <c r="J224" i="36"/>
  <c r="K224" i="36" s="1"/>
  <c r="L224" i="36" s="1"/>
  <c r="M224" i="36" s="1"/>
  <c r="N224" i="36" s="1"/>
  <c r="AQ223" i="36"/>
  <c r="J223" i="36"/>
  <c r="K223" i="36" s="1"/>
  <c r="L223" i="36" s="1"/>
  <c r="M223" i="36" s="1"/>
  <c r="N223" i="36" s="1"/>
  <c r="AQ222" i="36"/>
  <c r="J222" i="36"/>
  <c r="K222" i="36" s="1"/>
  <c r="L222" i="36" s="1"/>
  <c r="M222" i="36" s="1"/>
  <c r="N222" i="36" s="1"/>
  <c r="AQ221" i="36"/>
  <c r="J221" i="36"/>
  <c r="K221" i="36" s="1"/>
  <c r="L221" i="36" s="1"/>
  <c r="M221" i="36" s="1"/>
  <c r="N221" i="36" s="1"/>
  <c r="AQ220" i="36"/>
  <c r="J220" i="36"/>
  <c r="K220" i="36" s="1"/>
  <c r="L220" i="36" s="1"/>
  <c r="M220" i="36" s="1"/>
  <c r="N220" i="36" s="1"/>
  <c r="AQ219" i="36"/>
  <c r="J219" i="36"/>
  <c r="K219" i="36" s="1"/>
  <c r="L219" i="36" s="1"/>
  <c r="M219" i="36" s="1"/>
  <c r="N219" i="36" s="1"/>
  <c r="AQ218" i="36"/>
  <c r="J218" i="36"/>
  <c r="K218" i="36" s="1"/>
  <c r="L218" i="36" s="1"/>
  <c r="M218" i="36" s="1"/>
  <c r="N218" i="36" s="1"/>
  <c r="AQ217" i="36"/>
  <c r="J217" i="36"/>
  <c r="K217" i="36" s="1"/>
  <c r="L217" i="36" s="1"/>
  <c r="M217" i="36" s="1"/>
  <c r="N217" i="36" s="1"/>
  <c r="AQ216" i="36"/>
  <c r="J216" i="36"/>
  <c r="K216" i="36" s="1"/>
  <c r="L216" i="36" s="1"/>
  <c r="M216" i="36" s="1"/>
  <c r="N216" i="36" s="1"/>
  <c r="AQ215" i="36"/>
  <c r="J215" i="36"/>
  <c r="K215" i="36" s="1"/>
  <c r="L215" i="36" s="1"/>
  <c r="M215" i="36" s="1"/>
  <c r="N215" i="36" s="1"/>
  <c r="AQ214" i="36"/>
  <c r="J214" i="36"/>
  <c r="K214" i="36" s="1"/>
  <c r="L214" i="36" s="1"/>
  <c r="M214" i="36" s="1"/>
  <c r="N214" i="36" s="1"/>
  <c r="AQ213" i="36"/>
  <c r="J213" i="36"/>
  <c r="K213" i="36" s="1"/>
  <c r="L213" i="36" s="1"/>
  <c r="M213" i="36" s="1"/>
  <c r="N213" i="36" s="1"/>
  <c r="AQ212" i="36"/>
  <c r="J212" i="36"/>
  <c r="K212" i="36" s="1"/>
  <c r="L212" i="36" s="1"/>
  <c r="M212" i="36" s="1"/>
  <c r="N212" i="36" s="1"/>
  <c r="AQ211" i="36"/>
  <c r="J211" i="36"/>
  <c r="K211" i="36" s="1"/>
  <c r="L211" i="36" s="1"/>
  <c r="M211" i="36" s="1"/>
  <c r="N211" i="36" s="1"/>
  <c r="AQ210" i="36"/>
  <c r="J210" i="36"/>
  <c r="K210" i="36" s="1"/>
  <c r="L210" i="36" s="1"/>
  <c r="M210" i="36" s="1"/>
  <c r="N210" i="36" s="1"/>
  <c r="AQ209" i="36"/>
  <c r="J209" i="36"/>
  <c r="K209" i="36" s="1"/>
  <c r="L209" i="36" s="1"/>
  <c r="M209" i="36" s="1"/>
  <c r="N209" i="36" s="1"/>
  <c r="AQ208" i="36"/>
  <c r="J208" i="36"/>
  <c r="K208" i="36" s="1"/>
  <c r="L208" i="36" s="1"/>
  <c r="M208" i="36" s="1"/>
  <c r="N208" i="36" s="1"/>
  <c r="AQ207" i="36"/>
  <c r="J207" i="36"/>
  <c r="K207" i="36" s="1"/>
  <c r="L207" i="36" s="1"/>
  <c r="M207" i="36" s="1"/>
  <c r="N207" i="36" s="1"/>
  <c r="AQ206" i="36"/>
  <c r="J206" i="36"/>
  <c r="K206" i="36" s="1"/>
  <c r="L206" i="36" s="1"/>
  <c r="M206" i="36" s="1"/>
  <c r="N206" i="36" s="1"/>
  <c r="AQ205" i="36"/>
  <c r="J205" i="36"/>
  <c r="K205" i="36" s="1"/>
  <c r="L205" i="36" s="1"/>
  <c r="M205" i="36" s="1"/>
  <c r="N205" i="36" s="1"/>
  <c r="AQ204" i="36"/>
  <c r="J204" i="36"/>
  <c r="K204" i="36" s="1"/>
  <c r="L204" i="36" s="1"/>
  <c r="M204" i="36" s="1"/>
  <c r="N204" i="36" s="1"/>
  <c r="AQ203" i="36"/>
  <c r="J203" i="36"/>
  <c r="K203" i="36" s="1"/>
  <c r="L203" i="36" s="1"/>
  <c r="M203" i="36" s="1"/>
  <c r="N203" i="36" s="1"/>
  <c r="AQ202" i="36"/>
  <c r="J202" i="36"/>
  <c r="K202" i="36" s="1"/>
  <c r="L202" i="36" s="1"/>
  <c r="M202" i="36" s="1"/>
  <c r="N202" i="36" s="1"/>
  <c r="AQ201" i="36"/>
  <c r="G201" i="36"/>
  <c r="F201" i="36" s="1"/>
  <c r="AQ188" i="36"/>
  <c r="AI188" i="36"/>
  <c r="V188" i="36"/>
  <c r="J188" i="36"/>
  <c r="K188" i="36" s="1"/>
  <c r="L188" i="36" s="1"/>
  <c r="M188" i="36" s="1"/>
  <c r="N188" i="36" s="1"/>
  <c r="AQ187" i="36"/>
  <c r="AI187" i="36"/>
  <c r="AM187" i="36" s="1"/>
  <c r="AN187" i="36" s="1"/>
  <c r="AO187" i="36" s="1"/>
  <c r="V187" i="36"/>
  <c r="AE187" i="36" s="1"/>
  <c r="J187" i="36"/>
  <c r="K187" i="36" s="1"/>
  <c r="L187" i="36" s="1"/>
  <c r="M187" i="36" s="1"/>
  <c r="N187" i="36" s="1"/>
  <c r="AQ186" i="36"/>
  <c r="J186" i="36"/>
  <c r="K186" i="36" s="1"/>
  <c r="L186" i="36" s="1"/>
  <c r="M186" i="36" s="1"/>
  <c r="N186" i="36" s="1"/>
  <c r="AQ185" i="36"/>
  <c r="J185" i="36"/>
  <c r="K185" i="36" s="1"/>
  <c r="L185" i="36" s="1"/>
  <c r="M185" i="36" s="1"/>
  <c r="N185" i="36" s="1"/>
  <c r="AQ184" i="36"/>
  <c r="J184" i="36"/>
  <c r="K184" i="36" s="1"/>
  <c r="L184" i="36" s="1"/>
  <c r="M184" i="36" s="1"/>
  <c r="N184" i="36" s="1"/>
  <c r="AQ183" i="36"/>
  <c r="J183" i="36"/>
  <c r="K183" i="36" s="1"/>
  <c r="L183" i="36" s="1"/>
  <c r="M183" i="36" s="1"/>
  <c r="N183" i="36" s="1"/>
  <c r="AQ182" i="36"/>
  <c r="J182" i="36"/>
  <c r="K182" i="36" s="1"/>
  <c r="L182" i="36" s="1"/>
  <c r="M182" i="36" s="1"/>
  <c r="N182" i="36" s="1"/>
  <c r="AQ181" i="36"/>
  <c r="J181" i="36"/>
  <c r="K181" i="36" s="1"/>
  <c r="L181" i="36" s="1"/>
  <c r="M181" i="36" s="1"/>
  <c r="N181" i="36" s="1"/>
  <c r="AQ180" i="36"/>
  <c r="J180" i="36"/>
  <c r="K180" i="36" s="1"/>
  <c r="L180" i="36" s="1"/>
  <c r="M180" i="36" s="1"/>
  <c r="N180" i="36" s="1"/>
  <c r="AQ179" i="36"/>
  <c r="J179" i="36"/>
  <c r="K179" i="36" s="1"/>
  <c r="L179" i="36" s="1"/>
  <c r="M179" i="36" s="1"/>
  <c r="N179" i="36" s="1"/>
  <c r="AQ178" i="36"/>
  <c r="J178" i="36"/>
  <c r="K178" i="36" s="1"/>
  <c r="L178" i="36" s="1"/>
  <c r="M178" i="36" s="1"/>
  <c r="N178" i="36" s="1"/>
  <c r="AQ177" i="36"/>
  <c r="BF171" i="36"/>
  <c r="BF172" i="36" s="1"/>
  <c r="BF173" i="36" s="1"/>
  <c r="BF174" i="36" s="1"/>
  <c r="BF175" i="36" s="1"/>
  <c r="BF176" i="36" s="1"/>
  <c r="BF177" i="36" s="1"/>
  <c r="BF178" i="36" s="1"/>
  <c r="BF179" i="36" s="1"/>
  <c r="BF180" i="36" s="1"/>
  <c r="BF181" i="36" s="1"/>
  <c r="BF182" i="36" s="1"/>
  <c r="BF183" i="36" s="1"/>
  <c r="BF184" i="36" s="1"/>
  <c r="BF185" i="36" s="1"/>
  <c r="BF186" i="36" s="1"/>
  <c r="BF187" i="36" s="1"/>
  <c r="BF188" i="36" s="1"/>
  <c r="BF189" i="36" s="1"/>
  <c r="BF190" i="36" s="1"/>
  <c r="BF191" i="36" s="1"/>
  <c r="BF195" i="36" s="1"/>
  <c r="BF196" i="36" s="1"/>
  <c r="BF197" i="36" s="1"/>
  <c r="BF198" i="36" s="1"/>
  <c r="BF199" i="36" s="1"/>
  <c r="BF200" i="36" s="1"/>
  <c r="BF201" i="36" s="1"/>
  <c r="BF202" i="36" s="1"/>
  <c r="BF203" i="36" s="1"/>
  <c r="BF204" i="36" s="1"/>
  <c r="BF205" i="36" s="1"/>
  <c r="BF206" i="36" s="1"/>
  <c r="BF207" i="36" s="1"/>
  <c r="BF208" i="36" s="1"/>
  <c r="BF209" i="36" s="1"/>
  <c r="BG170" i="36"/>
  <c r="J158" i="36"/>
  <c r="K158" i="36" s="1"/>
  <c r="L158" i="36" s="1"/>
  <c r="M158" i="36" s="1"/>
  <c r="N158" i="36" s="1"/>
  <c r="J157" i="36"/>
  <c r="K157" i="36" s="1"/>
  <c r="L157" i="36" s="1"/>
  <c r="M157" i="36" s="1"/>
  <c r="N157" i="36" s="1"/>
  <c r="J156" i="36"/>
  <c r="K156" i="36" s="1"/>
  <c r="L156" i="36" s="1"/>
  <c r="M156" i="36" s="1"/>
  <c r="N156" i="36" s="1"/>
  <c r="J155" i="36"/>
  <c r="K155" i="36" s="1"/>
  <c r="L155" i="36" s="1"/>
  <c r="M155" i="36" s="1"/>
  <c r="N155" i="36" s="1"/>
  <c r="J154" i="36"/>
  <c r="K154" i="36" s="1"/>
  <c r="L154" i="36" s="1"/>
  <c r="M154" i="36" s="1"/>
  <c r="N154" i="36" s="1"/>
  <c r="J153" i="36"/>
  <c r="K153" i="36" s="1"/>
  <c r="L153" i="36" s="1"/>
  <c r="M153" i="36" s="1"/>
  <c r="N153" i="36" s="1"/>
  <c r="J152" i="36"/>
  <c r="K152" i="36" s="1"/>
  <c r="L152" i="36" s="1"/>
  <c r="M152" i="36" s="1"/>
  <c r="N152" i="36" s="1"/>
  <c r="J151" i="36"/>
  <c r="K151" i="36" s="1"/>
  <c r="L151" i="36" s="1"/>
  <c r="M151" i="36" s="1"/>
  <c r="N151" i="36" s="1"/>
  <c r="J150" i="36"/>
  <c r="K150" i="36" s="1"/>
  <c r="L150" i="36" s="1"/>
  <c r="M150" i="36" s="1"/>
  <c r="N150" i="36" s="1"/>
  <c r="J149" i="36"/>
  <c r="K149" i="36" s="1"/>
  <c r="L149" i="36" s="1"/>
  <c r="M149" i="36" s="1"/>
  <c r="N149" i="36" s="1"/>
  <c r="J148" i="36"/>
  <c r="K148" i="36" s="1"/>
  <c r="L148" i="36" s="1"/>
  <c r="M148" i="36" s="1"/>
  <c r="N148" i="36" s="1"/>
  <c r="J147" i="36"/>
  <c r="K147" i="36" s="1"/>
  <c r="L147" i="36" s="1"/>
  <c r="M147" i="36" s="1"/>
  <c r="N147" i="36" s="1"/>
  <c r="J146" i="36"/>
  <c r="K146" i="36" s="1"/>
  <c r="L146" i="36" s="1"/>
  <c r="M146" i="36" s="1"/>
  <c r="N146" i="36" s="1"/>
  <c r="J145" i="36"/>
  <c r="K145" i="36" s="1"/>
  <c r="L145" i="36" s="1"/>
  <c r="M145" i="36" s="1"/>
  <c r="N145" i="36" s="1"/>
  <c r="J144" i="36"/>
  <c r="K144" i="36" s="1"/>
  <c r="L144" i="36" s="1"/>
  <c r="M144" i="36" s="1"/>
  <c r="N144" i="36" s="1"/>
  <c r="J143" i="36"/>
  <c r="K143" i="36" s="1"/>
  <c r="L143" i="36" s="1"/>
  <c r="M143" i="36" s="1"/>
  <c r="N143" i="36" s="1"/>
  <c r="J142" i="36"/>
  <c r="K142" i="36" s="1"/>
  <c r="L142" i="36" s="1"/>
  <c r="M142" i="36" s="1"/>
  <c r="N142" i="36" s="1"/>
  <c r="J141" i="36"/>
  <c r="K141" i="36" s="1"/>
  <c r="L141" i="36" s="1"/>
  <c r="M141" i="36" s="1"/>
  <c r="N141" i="36" s="1"/>
  <c r="J140" i="36"/>
  <c r="K140" i="36" s="1"/>
  <c r="L140" i="36" s="1"/>
  <c r="M140" i="36" s="1"/>
  <c r="N140" i="36" s="1"/>
  <c r="G139" i="36"/>
  <c r="C139" i="36"/>
  <c r="AH162" i="36" s="1"/>
  <c r="AM135" i="36"/>
  <c r="AN135" i="36" s="1"/>
  <c r="AO135" i="36" s="1"/>
  <c r="CN99" i="36"/>
  <c r="CN131" i="36" s="1"/>
  <c r="CL99" i="36"/>
  <c r="CL131" i="36" s="1"/>
  <c r="CF99" i="36"/>
  <c r="CF131" i="36" s="1"/>
  <c r="CD99" i="36"/>
  <c r="CD131" i="36" s="1"/>
  <c r="CQ55" i="36"/>
  <c r="CO55" i="36"/>
  <c r="CM55" i="36"/>
  <c r="CK55" i="36"/>
  <c r="CI55" i="36"/>
  <c r="CG55" i="36"/>
  <c r="CE55" i="36"/>
  <c r="CC55" i="36"/>
  <c r="H22" i="36"/>
  <c r="C11" i="36"/>
  <c r="H8" i="36"/>
  <c r="H7" i="36"/>
  <c r="D4" i="36"/>
  <c r="F2" i="36"/>
  <c r="E2" i="36"/>
  <c r="D2" i="36"/>
  <c r="C16" i="35"/>
  <c r="AQ141" i="35"/>
  <c r="AQ142" i="35"/>
  <c r="AQ143" i="35"/>
  <c r="AQ144" i="35"/>
  <c r="AQ145" i="35"/>
  <c r="AQ146" i="35"/>
  <c r="AQ147" i="35"/>
  <c r="AQ148" i="35"/>
  <c r="AQ149" i="35"/>
  <c r="AQ150" i="35"/>
  <c r="AQ151" i="35"/>
  <c r="AQ152" i="35"/>
  <c r="AQ153" i="35"/>
  <c r="AQ154" i="35"/>
  <c r="AQ155" i="35"/>
  <c r="AQ156" i="35"/>
  <c r="AQ157" i="35"/>
  <c r="AQ158" i="35"/>
  <c r="AQ159" i="35"/>
  <c r="AQ160" i="35"/>
  <c r="AQ161" i="35"/>
  <c r="AQ162" i="35"/>
  <c r="AQ163" i="35"/>
  <c r="AQ164" i="35"/>
  <c r="AQ140" i="35"/>
  <c r="AQ139" i="35"/>
  <c r="J159" i="35"/>
  <c r="K159" i="35" s="1"/>
  <c r="L159" i="35" s="1"/>
  <c r="M159" i="35" s="1"/>
  <c r="N159" i="35" s="1"/>
  <c r="J160" i="35"/>
  <c r="K160" i="35" s="1"/>
  <c r="L160" i="35" s="1"/>
  <c r="M160" i="35" s="1"/>
  <c r="N160" i="35" s="1"/>
  <c r="J161" i="35"/>
  <c r="K161" i="35" s="1"/>
  <c r="L161" i="35" s="1"/>
  <c r="M161" i="35" s="1"/>
  <c r="N161" i="35" s="1"/>
  <c r="J162" i="35"/>
  <c r="K162" i="35" s="1"/>
  <c r="L162" i="35" s="1"/>
  <c r="M162" i="35" s="1"/>
  <c r="N162" i="35" s="1"/>
  <c r="J163" i="35"/>
  <c r="K163" i="35" s="1"/>
  <c r="L163" i="35" s="1"/>
  <c r="M163" i="35" s="1"/>
  <c r="N163" i="35" s="1"/>
  <c r="J164" i="35"/>
  <c r="K164" i="35" s="1"/>
  <c r="L164" i="35" s="1"/>
  <c r="M164" i="35" s="1"/>
  <c r="N164" i="35" s="1"/>
  <c r="AQ227" i="35"/>
  <c r="J227" i="35"/>
  <c r="K227" i="35" s="1"/>
  <c r="L227" i="35" s="1"/>
  <c r="M227" i="35" s="1"/>
  <c r="N227" i="35" s="1"/>
  <c r="AQ226" i="35"/>
  <c r="J226" i="35"/>
  <c r="K226" i="35" s="1"/>
  <c r="L226" i="35" s="1"/>
  <c r="M226" i="35" s="1"/>
  <c r="N226" i="35" s="1"/>
  <c r="AQ225" i="35"/>
  <c r="J225" i="35"/>
  <c r="K225" i="35" s="1"/>
  <c r="L225" i="35" s="1"/>
  <c r="M225" i="35" s="1"/>
  <c r="N225" i="35" s="1"/>
  <c r="AQ224" i="35"/>
  <c r="J224" i="35"/>
  <c r="K224" i="35" s="1"/>
  <c r="L224" i="35" s="1"/>
  <c r="M224" i="35" s="1"/>
  <c r="N224" i="35" s="1"/>
  <c r="AQ223" i="35"/>
  <c r="J223" i="35"/>
  <c r="K223" i="35" s="1"/>
  <c r="L223" i="35" s="1"/>
  <c r="M223" i="35" s="1"/>
  <c r="N223" i="35" s="1"/>
  <c r="AQ222" i="35"/>
  <c r="J222" i="35"/>
  <c r="K222" i="35" s="1"/>
  <c r="L222" i="35" s="1"/>
  <c r="M222" i="35" s="1"/>
  <c r="N222" i="35" s="1"/>
  <c r="AQ221" i="35"/>
  <c r="J221" i="35"/>
  <c r="K221" i="35" s="1"/>
  <c r="L221" i="35" s="1"/>
  <c r="M221" i="35" s="1"/>
  <c r="N221" i="35" s="1"/>
  <c r="AQ220" i="35"/>
  <c r="J220" i="35"/>
  <c r="K220" i="35" s="1"/>
  <c r="L220" i="35" s="1"/>
  <c r="M220" i="35" s="1"/>
  <c r="N220" i="35" s="1"/>
  <c r="AQ219" i="35"/>
  <c r="J219" i="35"/>
  <c r="K219" i="35" s="1"/>
  <c r="L219" i="35" s="1"/>
  <c r="M219" i="35" s="1"/>
  <c r="N219" i="35" s="1"/>
  <c r="AQ218" i="35"/>
  <c r="J218" i="35"/>
  <c r="K218" i="35" s="1"/>
  <c r="L218" i="35" s="1"/>
  <c r="M218" i="35" s="1"/>
  <c r="N218" i="35" s="1"/>
  <c r="AQ217" i="35"/>
  <c r="J217" i="35"/>
  <c r="K217" i="35" s="1"/>
  <c r="L217" i="35" s="1"/>
  <c r="M217" i="35" s="1"/>
  <c r="N217" i="35" s="1"/>
  <c r="AQ216" i="35"/>
  <c r="J216" i="35"/>
  <c r="K216" i="35" s="1"/>
  <c r="L216" i="35" s="1"/>
  <c r="M216" i="35" s="1"/>
  <c r="N216" i="35" s="1"/>
  <c r="AQ215" i="35"/>
  <c r="J215" i="35"/>
  <c r="K215" i="35" s="1"/>
  <c r="L215" i="35" s="1"/>
  <c r="M215" i="35" s="1"/>
  <c r="N215" i="35" s="1"/>
  <c r="AQ214" i="35"/>
  <c r="J214" i="35"/>
  <c r="K214" i="35" s="1"/>
  <c r="L214" i="35" s="1"/>
  <c r="M214" i="35" s="1"/>
  <c r="N214" i="35" s="1"/>
  <c r="AQ213" i="35"/>
  <c r="J213" i="35"/>
  <c r="K213" i="35" s="1"/>
  <c r="L213" i="35" s="1"/>
  <c r="M213" i="35" s="1"/>
  <c r="N213" i="35" s="1"/>
  <c r="AQ212" i="35"/>
  <c r="J212" i="35"/>
  <c r="K212" i="35" s="1"/>
  <c r="L212" i="35" s="1"/>
  <c r="M212" i="35" s="1"/>
  <c r="N212" i="35" s="1"/>
  <c r="AQ211" i="35"/>
  <c r="J211" i="35"/>
  <c r="K211" i="35" s="1"/>
  <c r="L211" i="35" s="1"/>
  <c r="M211" i="35" s="1"/>
  <c r="N211" i="35" s="1"/>
  <c r="AQ210" i="35"/>
  <c r="J210" i="35"/>
  <c r="K210" i="35" s="1"/>
  <c r="L210" i="35" s="1"/>
  <c r="M210" i="35" s="1"/>
  <c r="N210" i="35" s="1"/>
  <c r="AQ209" i="35"/>
  <c r="J209" i="35"/>
  <c r="K209" i="35" s="1"/>
  <c r="L209" i="35" s="1"/>
  <c r="M209" i="35" s="1"/>
  <c r="N209" i="35" s="1"/>
  <c r="AQ208" i="35"/>
  <c r="J208" i="35"/>
  <c r="K208" i="35" s="1"/>
  <c r="L208" i="35" s="1"/>
  <c r="M208" i="35" s="1"/>
  <c r="N208" i="35" s="1"/>
  <c r="AQ207" i="35"/>
  <c r="J207" i="35"/>
  <c r="K207" i="35" s="1"/>
  <c r="L207" i="35" s="1"/>
  <c r="M207" i="35" s="1"/>
  <c r="N207" i="35" s="1"/>
  <c r="AQ206" i="35"/>
  <c r="J206" i="35"/>
  <c r="K206" i="35" s="1"/>
  <c r="L206" i="35" s="1"/>
  <c r="M206" i="35" s="1"/>
  <c r="N206" i="35" s="1"/>
  <c r="AQ205" i="35"/>
  <c r="J205" i="35"/>
  <c r="K205" i="35" s="1"/>
  <c r="L205" i="35" s="1"/>
  <c r="M205" i="35" s="1"/>
  <c r="N205" i="35" s="1"/>
  <c r="AQ204" i="35"/>
  <c r="J204" i="35"/>
  <c r="K204" i="35" s="1"/>
  <c r="L204" i="35" s="1"/>
  <c r="M204" i="35" s="1"/>
  <c r="N204" i="35" s="1"/>
  <c r="AQ203" i="35"/>
  <c r="J203" i="35"/>
  <c r="K203" i="35" s="1"/>
  <c r="L203" i="35" s="1"/>
  <c r="M203" i="35" s="1"/>
  <c r="N203" i="35" s="1"/>
  <c r="AQ202" i="35"/>
  <c r="G202" i="35"/>
  <c r="F202" i="35" s="1"/>
  <c r="AQ189" i="35"/>
  <c r="J189" i="35"/>
  <c r="K189" i="35" s="1"/>
  <c r="L189" i="35" s="1"/>
  <c r="M189" i="35" s="1"/>
  <c r="N189" i="35" s="1"/>
  <c r="AQ188" i="35"/>
  <c r="J188" i="35"/>
  <c r="K188" i="35" s="1"/>
  <c r="L188" i="35" s="1"/>
  <c r="M188" i="35" s="1"/>
  <c r="N188" i="35" s="1"/>
  <c r="AQ187" i="35"/>
  <c r="J187" i="35"/>
  <c r="K187" i="35" s="1"/>
  <c r="L187" i="35" s="1"/>
  <c r="M187" i="35" s="1"/>
  <c r="N187" i="35" s="1"/>
  <c r="AQ186" i="35"/>
  <c r="AR186" i="35" s="1"/>
  <c r="J186" i="35"/>
  <c r="K186" i="35" s="1"/>
  <c r="L186" i="35" s="1"/>
  <c r="M186" i="35" s="1"/>
  <c r="N186" i="35" s="1"/>
  <c r="AQ185" i="35"/>
  <c r="J185" i="35"/>
  <c r="K185" i="35" s="1"/>
  <c r="L185" i="35" s="1"/>
  <c r="M185" i="35" s="1"/>
  <c r="N185" i="35" s="1"/>
  <c r="AQ184" i="35"/>
  <c r="J184" i="35"/>
  <c r="K184" i="35" s="1"/>
  <c r="L184" i="35" s="1"/>
  <c r="M184" i="35" s="1"/>
  <c r="N184" i="35" s="1"/>
  <c r="AQ183" i="35"/>
  <c r="J183" i="35"/>
  <c r="K183" i="35" s="1"/>
  <c r="L183" i="35" s="1"/>
  <c r="M183" i="35" s="1"/>
  <c r="N183" i="35" s="1"/>
  <c r="BF182" i="35"/>
  <c r="BF183" i="35" s="1"/>
  <c r="BF184" i="35" s="1"/>
  <c r="BF185" i="35" s="1"/>
  <c r="BF186" i="35" s="1"/>
  <c r="BF187" i="35" s="1"/>
  <c r="BF188" i="35" s="1"/>
  <c r="BF189" i="35" s="1"/>
  <c r="BF190" i="35" s="1"/>
  <c r="BF191" i="35" s="1"/>
  <c r="BF192" i="35" s="1"/>
  <c r="BF193" i="35" s="1"/>
  <c r="BF194" i="35" s="1"/>
  <c r="BF195" i="35" s="1"/>
  <c r="BF196" i="35" s="1"/>
  <c r="BF197" i="35" s="1"/>
  <c r="BF198" i="35" s="1"/>
  <c r="BF199" i="35" s="1"/>
  <c r="BF200" i="35" s="1"/>
  <c r="BF201" i="35" s="1"/>
  <c r="BF202" i="35" s="1"/>
  <c r="BF203" i="35" s="1"/>
  <c r="BF204" i="35" s="1"/>
  <c r="BF205" i="35" s="1"/>
  <c r="BF206" i="35" s="1"/>
  <c r="BF207" i="35" s="1"/>
  <c r="BF208" i="35" s="1"/>
  <c r="BF209" i="35" s="1"/>
  <c r="BF210" i="35" s="1"/>
  <c r="BF211" i="35" s="1"/>
  <c r="BF212" i="35" s="1"/>
  <c r="BF213" i="35" s="1"/>
  <c r="BF214" i="35" s="1"/>
  <c r="BF215" i="35" s="1"/>
  <c r="BF216" i="35" s="1"/>
  <c r="BF217" i="35" s="1"/>
  <c r="AQ182" i="35"/>
  <c r="J182" i="35"/>
  <c r="K182" i="35" s="1"/>
  <c r="L182" i="35" s="1"/>
  <c r="M182" i="35" s="1"/>
  <c r="N182" i="35" s="1"/>
  <c r="BG181" i="35"/>
  <c r="AQ181" i="35"/>
  <c r="J181" i="35"/>
  <c r="K181" i="35" s="1"/>
  <c r="L181" i="35" s="1"/>
  <c r="M181" i="35" s="1"/>
  <c r="N181" i="35" s="1"/>
  <c r="AQ180" i="35"/>
  <c r="J180" i="35"/>
  <c r="K180" i="35" s="1"/>
  <c r="L180" i="35" s="1"/>
  <c r="M180" i="35" s="1"/>
  <c r="N180" i="35" s="1"/>
  <c r="AQ179" i="35"/>
  <c r="J179" i="35"/>
  <c r="K179" i="35" s="1"/>
  <c r="L179" i="35" s="1"/>
  <c r="M179" i="35" s="1"/>
  <c r="N179" i="35" s="1"/>
  <c r="AQ178" i="35"/>
  <c r="J158" i="35"/>
  <c r="K158" i="35" s="1"/>
  <c r="L158" i="35" s="1"/>
  <c r="M158" i="35" s="1"/>
  <c r="N158" i="35" s="1"/>
  <c r="J157" i="35"/>
  <c r="K157" i="35" s="1"/>
  <c r="L157" i="35" s="1"/>
  <c r="M157" i="35" s="1"/>
  <c r="N157" i="35" s="1"/>
  <c r="J156" i="35"/>
  <c r="K156" i="35" s="1"/>
  <c r="L156" i="35" s="1"/>
  <c r="M156" i="35" s="1"/>
  <c r="N156" i="35" s="1"/>
  <c r="J155" i="35"/>
  <c r="K155" i="35" s="1"/>
  <c r="L155" i="35" s="1"/>
  <c r="M155" i="35" s="1"/>
  <c r="N155" i="35" s="1"/>
  <c r="J154" i="35"/>
  <c r="K154" i="35" s="1"/>
  <c r="L154" i="35" s="1"/>
  <c r="M154" i="35" s="1"/>
  <c r="N154" i="35" s="1"/>
  <c r="J153" i="35"/>
  <c r="K153" i="35" s="1"/>
  <c r="L153" i="35" s="1"/>
  <c r="M153" i="35" s="1"/>
  <c r="N153" i="35" s="1"/>
  <c r="J152" i="35"/>
  <c r="K152" i="35" s="1"/>
  <c r="L152" i="35" s="1"/>
  <c r="M152" i="35" s="1"/>
  <c r="N152" i="35" s="1"/>
  <c r="J151" i="35"/>
  <c r="K151" i="35" s="1"/>
  <c r="L151" i="35" s="1"/>
  <c r="M151" i="35" s="1"/>
  <c r="N151" i="35" s="1"/>
  <c r="J150" i="35"/>
  <c r="K150" i="35" s="1"/>
  <c r="L150" i="35" s="1"/>
  <c r="M150" i="35" s="1"/>
  <c r="N150" i="35" s="1"/>
  <c r="J149" i="35"/>
  <c r="K149" i="35" s="1"/>
  <c r="L149" i="35" s="1"/>
  <c r="M149" i="35" s="1"/>
  <c r="N149" i="35" s="1"/>
  <c r="J148" i="35"/>
  <c r="K148" i="35" s="1"/>
  <c r="L148" i="35" s="1"/>
  <c r="M148" i="35" s="1"/>
  <c r="N148" i="35" s="1"/>
  <c r="J147" i="35"/>
  <c r="K147" i="35" s="1"/>
  <c r="L147" i="35" s="1"/>
  <c r="M147" i="35" s="1"/>
  <c r="N147" i="35" s="1"/>
  <c r="J146" i="35"/>
  <c r="K146" i="35" s="1"/>
  <c r="L146" i="35" s="1"/>
  <c r="M146" i="35" s="1"/>
  <c r="N146" i="35" s="1"/>
  <c r="J145" i="35"/>
  <c r="K145" i="35" s="1"/>
  <c r="L145" i="35" s="1"/>
  <c r="M145" i="35" s="1"/>
  <c r="N145" i="35" s="1"/>
  <c r="J144" i="35"/>
  <c r="K144" i="35" s="1"/>
  <c r="L144" i="35" s="1"/>
  <c r="M144" i="35" s="1"/>
  <c r="N144" i="35" s="1"/>
  <c r="J143" i="35"/>
  <c r="K143" i="35" s="1"/>
  <c r="L143" i="35" s="1"/>
  <c r="M143" i="35" s="1"/>
  <c r="N143" i="35" s="1"/>
  <c r="J142" i="35"/>
  <c r="K142" i="35" s="1"/>
  <c r="L142" i="35" s="1"/>
  <c r="M142" i="35" s="1"/>
  <c r="N142" i="35" s="1"/>
  <c r="J141" i="35"/>
  <c r="K141" i="35" s="1"/>
  <c r="L141" i="35" s="1"/>
  <c r="M141" i="35" s="1"/>
  <c r="N141" i="35" s="1"/>
  <c r="J140" i="35"/>
  <c r="K140" i="35" s="1"/>
  <c r="L140" i="35" s="1"/>
  <c r="M140" i="35" s="1"/>
  <c r="N140" i="35" s="1"/>
  <c r="G139" i="35"/>
  <c r="C139" i="35"/>
  <c r="AH159" i="35" s="1"/>
  <c r="AM135" i="35"/>
  <c r="AN135" i="35" s="1"/>
  <c r="AO135" i="35" s="1"/>
  <c r="CN127" i="35"/>
  <c r="CN129" i="35" s="1"/>
  <c r="CL127" i="35"/>
  <c r="CL129" i="35" s="1"/>
  <c r="CF127" i="35"/>
  <c r="CF129" i="35" s="1"/>
  <c r="CD127" i="35"/>
  <c r="CD129" i="35" s="1"/>
  <c r="CQ83" i="35"/>
  <c r="CO83" i="35"/>
  <c r="CM83" i="35"/>
  <c r="CK83" i="35"/>
  <c r="CI83" i="35"/>
  <c r="CG83" i="35"/>
  <c r="CE83" i="35"/>
  <c r="CC83" i="35"/>
  <c r="H22" i="35"/>
  <c r="C11" i="35"/>
  <c r="H8" i="35"/>
  <c r="H7" i="35"/>
  <c r="D4" i="35"/>
  <c r="F2" i="35"/>
  <c r="E2" i="35"/>
  <c r="D2" i="35"/>
  <c r="AR184" i="36" l="1"/>
  <c r="AR182" i="36"/>
  <c r="AR184" i="35"/>
  <c r="AR188" i="35"/>
  <c r="C7" i="35"/>
  <c r="BQ53" i="35" s="1"/>
  <c r="AR158" i="36"/>
  <c r="H9" i="35"/>
  <c r="AR155" i="36"/>
  <c r="AR178" i="36"/>
  <c r="AR186" i="36"/>
  <c r="AR149" i="36"/>
  <c r="AR181" i="36"/>
  <c r="AR183" i="36"/>
  <c r="AR185" i="36"/>
  <c r="AR187" i="36"/>
  <c r="AR153" i="36"/>
  <c r="AR179" i="36"/>
  <c r="AR180" i="36"/>
  <c r="AR164" i="36"/>
  <c r="AR160" i="36"/>
  <c r="AR158" i="35"/>
  <c r="AR153" i="35"/>
  <c r="AR150" i="35"/>
  <c r="AR143" i="35"/>
  <c r="AR151" i="35"/>
  <c r="AR140" i="35"/>
  <c r="AR157" i="35"/>
  <c r="AR149" i="35"/>
  <c r="AR145" i="35"/>
  <c r="AR141" i="35"/>
  <c r="AR164" i="35"/>
  <c r="AR139" i="35"/>
  <c r="AR178" i="35"/>
  <c r="AR180" i="35"/>
  <c r="AR160" i="35"/>
  <c r="AR147" i="35"/>
  <c r="AR154" i="35"/>
  <c r="AR183" i="35"/>
  <c r="AR185" i="35"/>
  <c r="AR187" i="35"/>
  <c r="AR189" i="35"/>
  <c r="AR163" i="35"/>
  <c r="AR159" i="35"/>
  <c r="AR155" i="35"/>
  <c r="AR162" i="35"/>
  <c r="AM159" i="35"/>
  <c r="AN159" i="35" s="1"/>
  <c r="AO159" i="35" s="1"/>
  <c r="AJ159" i="35"/>
  <c r="AK159" i="35" s="1"/>
  <c r="AL159" i="35" s="1"/>
  <c r="AI159" i="35"/>
  <c r="O149" i="35"/>
  <c r="P149" i="35" s="1"/>
  <c r="Q149" i="35" s="1"/>
  <c r="O159" i="35"/>
  <c r="P159" i="35" s="1"/>
  <c r="Q159" i="35" s="1"/>
  <c r="O163" i="35"/>
  <c r="P163" i="35" s="1"/>
  <c r="Q163" i="35" s="1"/>
  <c r="AR140" i="36"/>
  <c r="AR146" i="36"/>
  <c r="AR156" i="36"/>
  <c r="AR152" i="36"/>
  <c r="AR148" i="36"/>
  <c r="AR144" i="36"/>
  <c r="AH155" i="35"/>
  <c r="AI155" i="35" s="1"/>
  <c r="AH161" i="35"/>
  <c r="AH164" i="35"/>
  <c r="AH160" i="35"/>
  <c r="AH142" i="35"/>
  <c r="AI142" i="35" s="1"/>
  <c r="O164" i="35"/>
  <c r="P164" i="35" s="1"/>
  <c r="Q164" i="35" s="1"/>
  <c r="AH162" i="35"/>
  <c r="AR150" i="36"/>
  <c r="AR143" i="36"/>
  <c r="AR139" i="36"/>
  <c r="AR177" i="36"/>
  <c r="AR154" i="36"/>
  <c r="AR147" i="36"/>
  <c r="AR163" i="36"/>
  <c r="AR159" i="36"/>
  <c r="AR161" i="36"/>
  <c r="AR142" i="35"/>
  <c r="AR146" i="35"/>
  <c r="AR148" i="35"/>
  <c r="AR179" i="35"/>
  <c r="AR181" i="35"/>
  <c r="AR182" i="35"/>
  <c r="O161" i="35"/>
  <c r="P161" i="35" s="1"/>
  <c r="Q161" i="35" s="1"/>
  <c r="AH163" i="35"/>
  <c r="AR161" i="35"/>
  <c r="C7" i="36"/>
  <c r="BQ25" i="36" s="1"/>
  <c r="AR162" i="36"/>
  <c r="AH146" i="35"/>
  <c r="O160" i="35"/>
  <c r="P160" i="35" s="1"/>
  <c r="Q160" i="35" s="1"/>
  <c r="AH154" i="35"/>
  <c r="AI154" i="35" s="1"/>
  <c r="O162" i="35"/>
  <c r="P162" i="35" s="1"/>
  <c r="Q162" i="35" s="1"/>
  <c r="AH157" i="35"/>
  <c r="AR156" i="35"/>
  <c r="AR152" i="35"/>
  <c r="AR144" i="35"/>
  <c r="AR142" i="36"/>
  <c r="AR151" i="36"/>
  <c r="AR157" i="36"/>
  <c r="AR145" i="36"/>
  <c r="AR141" i="36"/>
  <c r="AM162" i="36"/>
  <c r="AN162" i="36" s="1"/>
  <c r="AO162" i="36" s="1"/>
  <c r="AJ162" i="36"/>
  <c r="AK162" i="36" s="1"/>
  <c r="AL162" i="36" s="1"/>
  <c r="AI162" i="36"/>
  <c r="H11" i="36"/>
  <c r="H9" i="36"/>
  <c r="O162" i="36"/>
  <c r="P162" i="36" s="1"/>
  <c r="Q162" i="36" s="1"/>
  <c r="AH161" i="36"/>
  <c r="O161" i="36"/>
  <c r="P161" i="36" s="1"/>
  <c r="Q161" i="36" s="1"/>
  <c r="AH164" i="36"/>
  <c r="AH160" i="36"/>
  <c r="O164" i="36"/>
  <c r="P164" i="36" s="1"/>
  <c r="Q164" i="36" s="1"/>
  <c r="O160" i="36"/>
  <c r="P160" i="36" s="1"/>
  <c r="Q160" i="36" s="1"/>
  <c r="O159" i="36"/>
  <c r="P159" i="36" s="1"/>
  <c r="Q159" i="36" s="1"/>
  <c r="AH159" i="36"/>
  <c r="O163" i="36"/>
  <c r="P163" i="36" s="1"/>
  <c r="Q163" i="36" s="1"/>
  <c r="AH163" i="36"/>
  <c r="AH158" i="36"/>
  <c r="O158" i="36"/>
  <c r="P158" i="36" s="1"/>
  <c r="Q158" i="36" s="1"/>
  <c r="AH154" i="36"/>
  <c r="O154" i="36"/>
  <c r="P154" i="36" s="1"/>
  <c r="Q154" i="36" s="1"/>
  <c r="AH150" i="36"/>
  <c r="O150" i="36"/>
  <c r="P150" i="36" s="1"/>
  <c r="Q150" i="36" s="1"/>
  <c r="AH146" i="36"/>
  <c r="O146" i="36"/>
  <c r="P146" i="36" s="1"/>
  <c r="Q146" i="36" s="1"/>
  <c r="AH142" i="36"/>
  <c r="O142" i="36"/>
  <c r="P142" i="36" s="1"/>
  <c r="Q142" i="36" s="1"/>
  <c r="O139" i="36"/>
  <c r="P139" i="36" s="1"/>
  <c r="AH155" i="36"/>
  <c r="O155" i="36"/>
  <c r="P155" i="36" s="1"/>
  <c r="Q155" i="36" s="1"/>
  <c r="AH151" i="36"/>
  <c r="O151" i="36"/>
  <c r="P151" i="36" s="1"/>
  <c r="Q151" i="36" s="1"/>
  <c r="AH147" i="36"/>
  <c r="O147" i="36"/>
  <c r="P147" i="36" s="1"/>
  <c r="Q147" i="36" s="1"/>
  <c r="AH143" i="36"/>
  <c r="O143" i="36"/>
  <c r="P143" i="36" s="1"/>
  <c r="Q143" i="36" s="1"/>
  <c r="J139" i="36"/>
  <c r="K139" i="36" s="1"/>
  <c r="L139" i="36" s="1"/>
  <c r="M139" i="36" s="1"/>
  <c r="N139" i="36" s="1"/>
  <c r="AH156" i="36"/>
  <c r="O152" i="36"/>
  <c r="P152" i="36" s="1"/>
  <c r="Q152" i="36" s="1"/>
  <c r="AH148" i="36"/>
  <c r="O144" i="36"/>
  <c r="P144" i="36" s="1"/>
  <c r="Q144" i="36" s="1"/>
  <c r="AH141" i="36"/>
  <c r="O140" i="36"/>
  <c r="P140" i="36" s="1"/>
  <c r="Q140" i="36" s="1"/>
  <c r="AH139" i="36"/>
  <c r="AH144" i="36"/>
  <c r="O141" i="36"/>
  <c r="P141" i="36" s="1"/>
  <c r="Q141" i="36" s="1"/>
  <c r="O157" i="36"/>
  <c r="P157" i="36" s="1"/>
  <c r="Q157" i="36" s="1"/>
  <c r="AH153" i="36"/>
  <c r="O149" i="36"/>
  <c r="P149" i="36" s="1"/>
  <c r="Q149" i="36" s="1"/>
  <c r="AH145" i="36"/>
  <c r="AH152" i="36"/>
  <c r="O148" i="36"/>
  <c r="P148" i="36" s="1"/>
  <c r="Q148" i="36" s="1"/>
  <c r="O156" i="36"/>
  <c r="P156" i="36" s="1"/>
  <c r="Q156" i="36" s="1"/>
  <c r="O153" i="36"/>
  <c r="P153" i="36" s="1"/>
  <c r="Q153" i="36" s="1"/>
  <c r="AH157" i="36"/>
  <c r="AH140" i="36"/>
  <c r="O145" i="36"/>
  <c r="P145" i="36" s="1"/>
  <c r="Q145" i="36" s="1"/>
  <c r="AH149" i="36"/>
  <c r="AJ188" i="36"/>
  <c r="AK188" i="36" s="1"/>
  <c r="AL188" i="36" s="1"/>
  <c r="AT188" i="36" s="1"/>
  <c r="AM188" i="36"/>
  <c r="AN188" i="36" s="1"/>
  <c r="AO188" i="36" s="1"/>
  <c r="BG171" i="36"/>
  <c r="AJ187" i="36"/>
  <c r="AK187" i="36" s="1"/>
  <c r="AL187" i="36" s="1"/>
  <c r="AS187" i="36" s="1"/>
  <c r="AE188" i="36"/>
  <c r="AF188" i="36"/>
  <c r="AF187" i="36"/>
  <c r="AR188" i="36"/>
  <c r="O139" i="35"/>
  <c r="P139" i="35" s="1"/>
  <c r="O141" i="35"/>
  <c r="P141" i="35" s="1"/>
  <c r="Q141" i="35" s="1"/>
  <c r="O145" i="35"/>
  <c r="P145" i="35" s="1"/>
  <c r="Q145" i="35" s="1"/>
  <c r="AH149" i="35"/>
  <c r="AH158" i="35"/>
  <c r="AH141" i="35"/>
  <c r="O142" i="35"/>
  <c r="P142" i="35" s="1"/>
  <c r="Q142" i="35" s="1"/>
  <c r="AH145" i="35"/>
  <c r="O150" i="35"/>
  <c r="P150" i="35" s="1"/>
  <c r="Q150" i="35" s="1"/>
  <c r="AH153" i="35"/>
  <c r="O154" i="35"/>
  <c r="P154" i="35" s="1"/>
  <c r="Q154" i="35" s="1"/>
  <c r="O153" i="35"/>
  <c r="P153" i="35" s="1"/>
  <c r="Q153" i="35" s="1"/>
  <c r="O157" i="35"/>
  <c r="P157" i="35" s="1"/>
  <c r="Q157" i="35" s="1"/>
  <c r="J139" i="35"/>
  <c r="K139" i="35" s="1"/>
  <c r="L139" i="35" s="1"/>
  <c r="M139" i="35" s="1"/>
  <c r="N139" i="35" s="1"/>
  <c r="O146" i="35"/>
  <c r="P146" i="35" s="1"/>
  <c r="Q146" i="35" s="1"/>
  <c r="AH150" i="35"/>
  <c r="O158" i="35"/>
  <c r="P158" i="35" s="1"/>
  <c r="Q158" i="35" s="1"/>
  <c r="H11" i="35"/>
  <c r="BG182" i="35"/>
  <c r="O140" i="35"/>
  <c r="P140" i="35" s="1"/>
  <c r="Q140" i="35" s="1"/>
  <c r="AH140" i="35"/>
  <c r="O144" i="35"/>
  <c r="P144" i="35" s="1"/>
  <c r="Q144" i="35" s="1"/>
  <c r="AH144" i="35"/>
  <c r="O148" i="35"/>
  <c r="P148" i="35" s="1"/>
  <c r="Q148" i="35" s="1"/>
  <c r="AH148" i="35"/>
  <c r="O152" i="35"/>
  <c r="P152" i="35" s="1"/>
  <c r="Q152" i="35" s="1"/>
  <c r="AH152" i="35"/>
  <c r="O156" i="35"/>
  <c r="P156" i="35" s="1"/>
  <c r="Q156" i="35" s="1"/>
  <c r="AH156" i="35"/>
  <c r="AH139" i="35"/>
  <c r="O143" i="35"/>
  <c r="P143" i="35" s="1"/>
  <c r="Q143" i="35" s="1"/>
  <c r="AH143" i="35"/>
  <c r="O147" i="35"/>
  <c r="P147" i="35" s="1"/>
  <c r="Q147" i="35" s="1"/>
  <c r="AH147" i="35"/>
  <c r="O151" i="35"/>
  <c r="P151" i="35" s="1"/>
  <c r="Q151" i="35" s="1"/>
  <c r="AH151" i="35"/>
  <c r="O155" i="35"/>
  <c r="P155" i="35" s="1"/>
  <c r="Q155" i="35" s="1"/>
  <c r="BO56" i="36" l="1"/>
  <c r="J56" i="36"/>
  <c r="L32" i="36"/>
  <c r="J50" i="36"/>
  <c r="L26" i="36"/>
  <c r="L44" i="36"/>
  <c r="J20" i="36"/>
  <c r="J38" i="36"/>
  <c r="L42" i="35"/>
  <c r="L43" i="35" s="1"/>
  <c r="J56" i="35"/>
  <c r="L32" i="35"/>
  <c r="J50" i="35"/>
  <c r="L26" i="35"/>
  <c r="L44" i="35"/>
  <c r="J38" i="35"/>
  <c r="J20" i="35"/>
  <c r="J48" i="36"/>
  <c r="L42" i="36"/>
  <c r="L43" i="36" s="1"/>
  <c r="L85" i="36"/>
  <c r="AS188" i="36"/>
  <c r="AS159" i="35"/>
  <c r="AJ148" i="35"/>
  <c r="AK148" i="35" s="1"/>
  <c r="AL148" i="35" s="1"/>
  <c r="AM148" i="35"/>
  <c r="AN148" i="35" s="1"/>
  <c r="AO148" i="35" s="1"/>
  <c r="AJ149" i="35"/>
  <c r="AK149" i="35" s="1"/>
  <c r="AL149" i="35" s="1"/>
  <c r="AM149" i="35"/>
  <c r="AN149" i="35" s="1"/>
  <c r="AO149" i="35" s="1"/>
  <c r="AM151" i="35"/>
  <c r="AJ151" i="35"/>
  <c r="AK151" i="35" s="1"/>
  <c r="AL151" i="35" s="1"/>
  <c r="AM143" i="35"/>
  <c r="AN143" i="35" s="1"/>
  <c r="AO143" i="35" s="1"/>
  <c r="AJ143" i="35"/>
  <c r="AK143" i="35" s="1"/>
  <c r="AL143" i="35" s="1"/>
  <c r="AI149" i="35"/>
  <c r="AM150" i="35"/>
  <c r="AN150" i="35" s="1"/>
  <c r="AJ150" i="35"/>
  <c r="AK150" i="35" s="1"/>
  <c r="AL150" i="35" s="1"/>
  <c r="AM146" i="35"/>
  <c r="AN146" i="35" s="1"/>
  <c r="AJ146" i="35"/>
  <c r="AK146" i="35" s="1"/>
  <c r="AL146" i="35" s="1"/>
  <c r="AM163" i="35"/>
  <c r="AN163" i="35" s="1"/>
  <c r="AO163" i="35" s="1"/>
  <c r="AJ163" i="35"/>
  <c r="AK163" i="35" s="1"/>
  <c r="AL163" i="35" s="1"/>
  <c r="AI163" i="35"/>
  <c r="AJ160" i="35"/>
  <c r="AK160" i="35" s="1"/>
  <c r="AL160" i="35" s="1"/>
  <c r="AI160" i="35"/>
  <c r="AM160" i="35"/>
  <c r="AN160" i="35" s="1"/>
  <c r="AO160" i="35" s="1"/>
  <c r="AJ152" i="35"/>
  <c r="AK152" i="35" s="1"/>
  <c r="AL152" i="35" s="1"/>
  <c r="AM152" i="35"/>
  <c r="AN152" i="35" s="1"/>
  <c r="AO152" i="35" s="1"/>
  <c r="AJ144" i="35"/>
  <c r="AK144" i="35" s="1"/>
  <c r="AL144" i="35" s="1"/>
  <c r="AM144" i="35"/>
  <c r="AN144" i="35" s="1"/>
  <c r="AO144" i="35" s="1"/>
  <c r="AI146" i="35"/>
  <c r="AM154" i="35"/>
  <c r="AN154" i="35" s="1"/>
  <c r="AO154" i="35" s="1"/>
  <c r="AJ154" i="35"/>
  <c r="AK154" i="35" s="1"/>
  <c r="AL154" i="35" s="1"/>
  <c r="AM162" i="35"/>
  <c r="AN162" i="35" s="1"/>
  <c r="AO162" i="35" s="1"/>
  <c r="AJ162" i="35"/>
  <c r="AK162" i="35" s="1"/>
  <c r="AL162" i="35" s="1"/>
  <c r="AI162" i="35"/>
  <c r="AJ164" i="35"/>
  <c r="AK164" i="35" s="1"/>
  <c r="AL164" i="35" s="1"/>
  <c r="AI164" i="35"/>
  <c r="AM164" i="35"/>
  <c r="AN164" i="35" s="1"/>
  <c r="AO164" i="35" s="1"/>
  <c r="AJ156" i="35"/>
  <c r="AK156" i="35" s="1"/>
  <c r="AL156" i="35" s="1"/>
  <c r="AM156" i="35"/>
  <c r="AN156" i="35" s="1"/>
  <c r="AO156" i="35" s="1"/>
  <c r="AJ140" i="35"/>
  <c r="AK140" i="35" s="1"/>
  <c r="AL140" i="35" s="1"/>
  <c r="AM140" i="35"/>
  <c r="AN140" i="35" s="1"/>
  <c r="AO140" i="35" s="1"/>
  <c r="AJ157" i="35"/>
  <c r="AK157" i="35" s="1"/>
  <c r="AL157" i="35" s="1"/>
  <c r="AM157" i="35"/>
  <c r="AN157" i="35" s="1"/>
  <c r="AM142" i="35"/>
  <c r="AN142" i="35" s="1"/>
  <c r="AJ142" i="35"/>
  <c r="AK142" i="35" s="1"/>
  <c r="AL142" i="35" s="1"/>
  <c r="AM155" i="35"/>
  <c r="AN155" i="35" s="1"/>
  <c r="AO155" i="35" s="1"/>
  <c r="AJ155" i="35"/>
  <c r="AK155" i="35" s="1"/>
  <c r="AI157" i="35"/>
  <c r="AJ153" i="35"/>
  <c r="AK153" i="35" s="1"/>
  <c r="AM153" i="35"/>
  <c r="AN153" i="35" s="1"/>
  <c r="AO153" i="35" s="1"/>
  <c r="AJ141" i="35"/>
  <c r="AK141" i="35" s="1"/>
  <c r="AL141" i="35" s="1"/>
  <c r="AM141" i="35"/>
  <c r="AN141" i="35" s="1"/>
  <c r="AO141" i="35" s="1"/>
  <c r="AM147" i="35"/>
  <c r="AN147" i="35" s="1"/>
  <c r="AO147" i="35" s="1"/>
  <c r="AJ147" i="35"/>
  <c r="AK147" i="35" s="1"/>
  <c r="AL147" i="35" s="1"/>
  <c r="AJ139" i="35"/>
  <c r="AK139" i="35" s="1"/>
  <c r="AL139" i="35" s="1"/>
  <c r="AM139" i="35"/>
  <c r="AN139" i="35" s="1"/>
  <c r="AO139" i="35" s="1"/>
  <c r="Q139" i="35"/>
  <c r="S139" i="35" s="1"/>
  <c r="T139" i="35" s="1"/>
  <c r="R140" i="35" s="1"/>
  <c r="S140" i="35" s="1"/>
  <c r="AJ145" i="35"/>
  <c r="AK145" i="35" s="1"/>
  <c r="AL145" i="35" s="1"/>
  <c r="AM145" i="35"/>
  <c r="AN145" i="35" s="1"/>
  <c r="AO145" i="35" s="1"/>
  <c r="AM158" i="35"/>
  <c r="AN158" i="35" s="1"/>
  <c r="AJ158" i="35"/>
  <c r="AK158" i="35" s="1"/>
  <c r="AL158" i="35" s="1"/>
  <c r="AJ161" i="35"/>
  <c r="AK161" i="35" s="1"/>
  <c r="AL161" i="35" s="1"/>
  <c r="AI161" i="35"/>
  <c r="AM161" i="35"/>
  <c r="AN161" i="35" s="1"/>
  <c r="AO161" i="35" s="1"/>
  <c r="AJ157" i="36"/>
  <c r="AM157" i="36"/>
  <c r="AN157" i="36" s="1"/>
  <c r="AO157" i="36" s="1"/>
  <c r="AJ152" i="36"/>
  <c r="AK152" i="36" s="1"/>
  <c r="AL152" i="36" s="1"/>
  <c r="AM152" i="36"/>
  <c r="AN152" i="36" s="1"/>
  <c r="AO152" i="36" s="1"/>
  <c r="AM143" i="36"/>
  <c r="AN143" i="36" s="1"/>
  <c r="AO143" i="36" s="1"/>
  <c r="AJ143" i="36"/>
  <c r="AK143" i="36" s="1"/>
  <c r="AL143" i="36" s="1"/>
  <c r="AM151" i="36"/>
  <c r="AN151" i="36" s="1"/>
  <c r="AO151" i="36" s="1"/>
  <c r="AJ151" i="36"/>
  <c r="AK151" i="36" s="1"/>
  <c r="AL151" i="36" s="1"/>
  <c r="AM163" i="36"/>
  <c r="AN163" i="36" s="1"/>
  <c r="AO163" i="36" s="1"/>
  <c r="AI163" i="36"/>
  <c r="AJ163" i="36"/>
  <c r="AK163" i="36" s="1"/>
  <c r="AL163" i="36" s="1"/>
  <c r="AJ149" i="36"/>
  <c r="AK149" i="36" s="1"/>
  <c r="AL149" i="36" s="1"/>
  <c r="AM149" i="36"/>
  <c r="AN149" i="36" s="1"/>
  <c r="AO149" i="36" s="1"/>
  <c r="AJ145" i="36"/>
  <c r="AK145" i="36" s="1"/>
  <c r="AL145" i="36" s="1"/>
  <c r="AM145" i="36"/>
  <c r="AN145" i="36" s="1"/>
  <c r="AO145" i="36" s="1"/>
  <c r="AJ141" i="36"/>
  <c r="AK141" i="36" s="1"/>
  <c r="AL141" i="36" s="1"/>
  <c r="AM141" i="36"/>
  <c r="AN141" i="36" s="1"/>
  <c r="AO141" i="36" s="1"/>
  <c r="AJ156" i="36"/>
  <c r="AM156" i="36"/>
  <c r="AN156" i="36" s="1"/>
  <c r="AO156" i="36" s="1"/>
  <c r="AM142" i="36"/>
  <c r="AN142" i="36" s="1"/>
  <c r="AO142" i="36" s="1"/>
  <c r="AJ142" i="36"/>
  <c r="AK142" i="36" s="1"/>
  <c r="AL142" i="36" s="1"/>
  <c r="AM150" i="36"/>
  <c r="AN150" i="36" s="1"/>
  <c r="AO150" i="36" s="1"/>
  <c r="AJ150" i="36"/>
  <c r="AK150" i="36" s="1"/>
  <c r="AL150" i="36" s="1"/>
  <c r="AM158" i="36"/>
  <c r="AN158" i="36" s="1"/>
  <c r="AO158" i="36" s="1"/>
  <c r="AJ158" i="36"/>
  <c r="AK158" i="36" s="1"/>
  <c r="AL158" i="36" s="1"/>
  <c r="AJ161" i="36"/>
  <c r="AK161" i="36" s="1"/>
  <c r="AL161" i="36" s="1"/>
  <c r="AI161" i="36"/>
  <c r="AM161" i="36"/>
  <c r="AN161" i="36" s="1"/>
  <c r="AO161" i="36" s="1"/>
  <c r="AJ144" i="36"/>
  <c r="AK144" i="36" s="1"/>
  <c r="AL144" i="36" s="1"/>
  <c r="AM144" i="36"/>
  <c r="AN144" i="36" s="1"/>
  <c r="AO144" i="36" s="1"/>
  <c r="AM147" i="36"/>
  <c r="AN147" i="36" s="1"/>
  <c r="AO147" i="36" s="1"/>
  <c r="AJ147" i="36"/>
  <c r="AK147" i="36" s="1"/>
  <c r="AL147" i="36" s="1"/>
  <c r="AM155" i="36"/>
  <c r="AN155" i="36" s="1"/>
  <c r="AO155" i="36" s="1"/>
  <c r="AJ155" i="36"/>
  <c r="AK155" i="36" s="1"/>
  <c r="AL155" i="36" s="1"/>
  <c r="AM159" i="36"/>
  <c r="AN159" i="36" s="1"/>
  <c r="AO159" i="36" s="1"/>
  <c r="AJ159" i="36"/>
  <c r="AK159" i="36" s="1"/>
  <c r="AL159" i="36" s="1"/>
  <c r="AI159" i="36"/>
  <c r="AJ160" i="36"/>
  <c r="AK160" i="36" s="1"/>
  <c r="AL160" i="36" s="1"/>
  <c r="AI160" i="36"/>
  <c r="AM160" i="36"/>
  <c r="AN160" i="36" s="1"/>
  <c r="AO160" i="36" s="1"/>
  <c r="AJ140" i="36"/>
  <c r="AM140" i="36"/>
  <c r="AN140" i="36" s="1"/>
  <c r="AO140" i="36" s="1"/>
  <c r="AJ153" i="36"/>
  <c r="AK153" i="36" s="1"/>
  <c r="AL153" i="36" s="1"/>
  <c r="AM153" i="36"/>
  <c r="AN153" i="36" s="1"/>
  <c r="AO153" i="36" s="1"/>
  <c r="AJ139" i="36"/>
  <c r="AK139" i="36" s="1"/>
  <c r="AL139" i="36" s="1"/>
  <c r="AM139" i="36"/>
  <c r="AN139" i="36" s="1"/>
  <c r="AO139" i="36" s="1"/>
  <c r="AJ148" i="36"/>
  <c r="AK148" i="36" s="1"/>
  <c r="AL148" i="36" s="1"/>
  <c r="AM148" i="36"/>
  <c r="AN148" i="36" s="1"/>
  <c r="AO148" i="36" s="1"/>
  <c r="AM146" i="36"/>
  <c r="AJ146" i="36"/>
  <c r="AK146" i="36" s="1"/>
  <c r="AL146" i="36" s="1"/>
  <c r="AM154" i="36"/>
  <c r="AN154" i="36" s="1"/>
  <c r="AO154" i="36" s="1"/>
  <c r="AJ154" i="36"/>
  <c r="AK154" i="36" s="1"/>
  <c r="AL154" i="36" s="1"/>
  <c r="AJ164" i="36"/>
  <c r="AK164" i="36" s="1"/>
  <c r="AL164" i="36" s="1"/>
  <c r="AI164" i="36"/>
  <c r="AM164" i="36"/>
  <c r="AN164" i="36" s="1"/>
  <c r="AO164" i="36" s="1"/>
  <c r="AS162" i="36"/>
  <c r="AT187" i="36"/>
  <c r="Q139" i="36"/>
  <c r="S139" i="36" s="1"/>
  <c r="T139" i="36" s="1"/>
  <c r="V139" i="36" s="1"/>
  <c r="AI143" i="36"/>
  <c r="AI151" i="36"/>
  <c r="AI153" i="36"/>
  <c r="AI139" i="36"/>
  <c r="AI148" i="36"/>
  <c r="AI146" i="36"/>
  <c r="AN146" i="36"/>
  <c r="AO146" i="36" s="1"/>
  <c r="AI145" i="36"/>
  <c r="AI141" i="36"/>
  <c r="AK156" i="36"/>
  <c r="AL156" i="36" s="1"/>
  <c r="AI156" i="36"/>
  <c r="AI142" i="36"/>
  <c r="AI150" i="36"/>
  <c r="AI158" i="36"/>
  <c r="AI154" i="36"/>
  <c r="AI149" i="36"/>
  <c r="AK157" i="36"/>
  <c r="AL157" i="36" s="1"/>
  <c r="AI157" i="36"/>
  <c r="AI152" i="36"/>
  <c r="BG172" i="36"/>
  <c r="AK140" i="36"/>
  <c r="AL140" i="36" s="1"/>
  <c r="AI140" i="36"/>
  <c r="AI144" i="36"/>
  <c r="AI147" i="36"/>
  <c r="AI155" i="36"/>
  <c r="AI158" i="35"/>
  <c r="AI145" i="35"/>
  <c r="BO84" i="35"/>
  <c r="J48" i="35"/>
  <c r="AI150" i="35"/>
  <c r="AI153" i="35"/>
  <c r="AI141" i="35"/>
  <c r="L85" i="35"/>
  <c r="AI148" i="35"/>
  <c r="AI151" i="35"/>
  <c r="AN151" i="35"/>
  <c r="AO151" i="35" s="1"/>
  <c r="AI143" i="35"/>
  <c r="AI156" i="35"/>
  <c r="AI140" i="35"/>
  <c r="AI152" i="35"/>
  <c r="AI144" i="35"/>
  <c r="AI147" i="35"/>
  <c r="AI139" i="35"/>
  <c r="BG183" i="35"/>
  <c r="AS161" i="36" l="1"/>
  <c r="AS160" i="36"/>
  <c r="R140" i="36"/>
  <c r="S140" i="36" s="1"/>
  <c r="S141" i="36" s="1"/>
  <c r="AS160" i="35"/>
  <c r="J49" i="36"/>
  <c r="AS164" i="36"/>
  <c r="V139" i="35"/>
  <c r="AE139" i="35" s="1"/>
  <c r="AS145" i="35"/>
  <c r="AS141" i="35"/>
  <c r="AS154" i="35"/>
  <c r="AS163" i="35"/>
  <c r="AS149" i="35"/>
  <c r="AI166" i="35"/>
  <c r="AS161" i="35"/>
  <c r="AO158" i="35"/>
  <c r="AS158" i="35" s="1"/>
  <c r="AL153" i="35"/>
  <c r="AS153" i="35" s="1"/>
  <c r="AL155" i="35"/>
  <c r="AS155" i="35" s="1"/>
  <c r="AS162" i="35"/>
  <c r="AO142" i="35"/>
  <c r="AS142" i="35" s="1"/>
  <c r="AO150" i="35"/>
  <c r="AS150" i="35" s="1"/>
  <c r="AO157" i="35"/>
  <c r="AS157" i="35" s="1"/>
  <c r="AS164" i="35"/>
  <c r="AO146" i="35"/>
  <c r="AS146" i="35" s="1"/>
  <c r="AI166" i="36"/>
  <c r="AS159" i="36"/>
  <c r="AS163" i="36"/>
  <c r="AS152" i="36"/>
  <c r="AS145" i="36"/>
  <c r="AS153" i="36"/>
  <c r="AS154" i="36"/>
  <c r="BG173" i="36"/>
  <c r="AS147" i="36"/>
  <c r="AS158" i="36"/>
  <c r="AS142" i="36"/>
  <c r="AE139" i="36"/>
  <c r="AT139" i="36"/>
  <c r="AS143" i="36"/>
  <c r="AS155" i="36"/>
  <c r="AS140" i="36"/>
  <c r="AS149" i="36"/>
  <c r="AS150" i="36"/>
  <c r="AS141" i="36"/>
  <c r="AS146" i="36"/>
  <c r="AS139" i="36"/>
  <c r="AS151" i="36"/>
  <c r="AS144" i="36"/>
  <c r="AS157" i="36"/>
  <c r="AS156" i="36"/>
  <c r="AS148" i="36"/>
  <c r="J49" i="35"/>
  <c r="AS143" i="35"/>
  <c r="AS151" i="35"/>
  <c r="BG184" i="35"/>
  <c r="T140" i="35"/>
  <c r="S141" i="35"/>
  <c r="AS152" i="35"/>
  <c r="AS156" i="35"/>
  <c r="AS148" i="35"/>
  <c r="AS139" i="35"/>
  <c r="AS147" i="35"/>
  <c r="AS144" i="35"/>
  <c r="AS140" i="35"/>
  <c r="T140" i="36" l="1"/>
  <c r="R141" i="36" s="1"/>
  <c r="AT139" i="35"/>
  <c r="BG174" i="36"/>
  <c r="C8" i="36"/>
  <c r="C177" i="36"/>
  <c r="X139" i="36"/>
  <c r="Z139" i="36" s="1"/>
  <c r="AM168" i="36"/>
  <c r="AN168" i="36" s="1"/>
  <c r="AO168" i="36" s="1"/>
  <c r="AM171" i="36"/>
  <c r="AN171" i="36" s="1"/>
  <c r="AO171" i="36" s="1"/>
  <c r="S142" i="36"/>
  <c r="T141" i="36"/>
  <c r="T141" i="35"/>
  <c r="S142" i="35"/>
  <c r="C8" i="35"/>
  <c r="R141" i="35"/>
  <c r="V140" i="35"/>
  <c r="X139" i="35"/>
  <c r="Z139" i="35" s="1"/>
  <c r="C178" i="35"/>
  <c r="AM168" i="35"/>
  <c r="AN168" i="35" s="1"/>
  <c r="AO168" i="35" s="1"/>
  <c r="AM171" i="35"/>
  <c r="AN171" i="35" s="1"/>
  <c r="AO171" i="35" s="1"/>
  <c r="BG185" i="35"/>
  <c r="F195" i="20"/>
  <c r="AP187" i="20"/>
  <c r="AP188" i="20"/>
  <c r="AP189" i="20"/>
  <c r="AP190" i="20"/>
  <c r="AP191" i="20"/>
  <c r="AP192" i="20"/>
  <c r="AP186" i="20"/>
  <c r="AP185" i="20"/>
  <c r="AP151" i="20"/>
  <c r="AP152" i="20"/>
  <c r="AP153" i="20"/>
  <c r="AP154" i="20"/>
  <c r="AP155" i="20"/>
  <c r="AP156" i="20"/>
  <c r="AP157" i="20"/>
  <c r="AP158" i="20"/>
  <c r="AP159" i="20"/>
  <c r="AP160" i="20"/>
  <c r="AP161" i="20"/>
  <c r="AP162" i="20"/>
  <c r="AP163" i="20"/>
  <c r="AP164" i="20"/>
  <c r="AP165" i="20"/>
  <c r="AP166" i="20"/>
  <c r="AP167" i="20"/>
  <c r="AP168" i="20"/>
  <c r="AP169" i="20"/>
  <c r="AP170" i="20"/>
  <c r="AP171" i="20"/>
  <c r="AP172" i="20"/>
  <c r="AP173" i="20"/>
  <c r="AP174" i="20"/>
  <c r="AP150" i="20"/>
  <c r="AP149" i="20"/>
  <c r="J169" i="20"/>
  <c r="K169" i="20" s="1"/>
  <c r="L169" i="20" s="1"/>
  <c r="M169" i="20" s="1"/>
  <c r="N169" i="20" s="1"/>
  <c r="J170" i="20"/>
  <c r="K170" i="20" s="1"/>
  <c r="L170" i="20" s="1"/>
  <c r="M170" i="20" s="1"/>
  <c r="N170" i="20" s="1"/>
  <c r="J171" i="20"/>
  <c r="K171" i="20" s="1"/>
  <c r="L171" i="20" s="1"/>
  <c r="M171" i="20" s="1"/>
  <c r="N171" i="20" s="1"/>
  <c r="J172" i="20"/>
  <c r="K172" i="20" s="1"/>
  <c r="L172" i="20" s="1"/>
  <c r="M172" i="20" s="1"/>
  <c r="N172" i="20" s="1"/>
  <c r="J173" i="20"/>
  <c r="K173" i="20" s="1"/>
  <c r="L173" i="20" s="1"/>
  <c r="M173" i="20" s="1"/>
  <c r="N173" i="20" s="1"/>
  <c r="J174" i="20"/>
  <c r="K174" i="20" s="1"/>
  <c r="L174" i="20" s="1"/>
  <c r="M174" i="20" s="1"/>
  <c r="N174" i="20" s="1"/>
  <c r="C7" i="20"/>
  <c r="AP175" i="25"/>
  <c r="AP176" i="25"/>
  <c r="AP177" i="25"/>
  <c r="AP178" i="25"/>
  <c r="AP174" i="25"/>
  <c r="AP173" i="25"/>
  <c r="C14" i="25"/>
  <c r="AP152" i="25"/>
  <c r="AP153" i="25"/>
  <c r="AP154" i="25"/>
  <c r="AP155" i="25"/>
  <c r="AP156" i="25"/>
  <c r="AP157" i="25"/>
  <c r="AP158" i="25"/>
  <c r="AP159" i="25"/>
  <c r="AP151" i="25"/>
  <c r="AP150" i="25"/>
  <c r="C11" i="25"/>
  <c r="V140" i="36" l="1"/>
  <c r="AQ160" i="25"/>
  <c r="AQ161" i="25"/>
  <c r="AQ154" i="25"/>
  <c r="AQ151" i="25"/>
  <c r="AQ158" i="25"/>
  <c r="AQ157" i="25"/>
  <c r="AQ156" i="25"/>
  <c r="AQ152" i="25"/>
  <c r="AQ153" i="25"/>
  <c r="AQ150" i="25"/>
  <c r="AQ159" i="25"/>
  <c r="AQ155" i="25"/>
  <c r="AP171" i="36"/>
  <c r="R142" i="36"/>
  <c r="V141" i="36"/>
  <c r="AH187" i="36"/>
  <c r="AH185" i="36"/>
  <c r="AI185" i="36" s="1"/>
  <c r="AH183" i="36"/>
  <c r="AI183" i="36" s="1"/>
  <c r="AH181" i="36"/>
  <c r="AI181" i="36" s="1"/>
  <c r="O188" i="36"/>
  <c r="P188" i="36" s="1"/>
  <c r="Q188" i="36" s="1"/>
  <c r="O186" i="36"/>
  <c r="P186" i="36" s="1"/>
  <c r="Q186" i="36" s="1"/>
  <c r="O184" i="36"/>
  <c r="P184" i="36" s="1"/>
  <c r="Q184" i="36" s="1"/>
  <c r="AH180" i="36"/>
  <c r="AI180" i="36" s="1"/>
  <c r="AH178" i="36"/>
  <c r="AI178" i="36" s="1"/>
  <c r="J177" i="36"/>
  <c r="P177" i="36" s="1"/>
  <c r="Q177" i="36" s="1"/>
  <c r="S177" i="36" s="1"/>
  <c r="T177" i="36" s="1"/>
  <c r="O181" i="36"/>
  <c r="P181" i="36" s="1"/>
  <c r="Q181" i="36" s="1"/>
  <c r="O179" i="36"/>
  <c r="P179" i="36" s="1"/>
  <c r="Q179" i="36" s="1"/>
  <c r="AH182" i="36"/>
  <c r="AI182" i="36" s="1"/>
  <c r="O182" i="36"/>
  <c r="P182" i="36" s="1"/>
  <c r="Q182" i="36" s="1"/>
  <c r="O178" i="36"/>
  <c r="P178" i="36" s="1"/>
  <c r="Q178" i="36" s="1"/>
  <c r="AH186" i="36"/>
  <c r="AI186" i="36" s="1"/>
  <c r="AH179" i="36"/>
  <c r="AI179" i="36" s="1"/>
  <c r="AH177" i="36"/>
  <c r="AI177" i="36" s="1"/>
  <c r="O187" i="36"/>
  <c r="P187" i="36" s="1"/>
  <c r="Q187" i="36" s="1"/>
  <c r="AH184" i="36"/>
  <c r="AI184" i="36" s="1"/>
  <c r="AH188" i="36"/>
  <c r="O180" i="36"/>
  <c r="P180" i="36" s="1"/>
  <c r="Q180" i="36" s="1"/>
  <c r="O185" i="36"/>
  <c r="P185" i="36" s="1"/>
  <c r="Q185" i="36" s="1"/>
  <c r="O183" i="36"/>
  <c r="P183" i="36" s="1"/>
  <c r="Q183" i="36" s="1"/>
  <c r="BG175" i="36"/>
  <c r="S143" i="36"/>
  <c r="T142" i="36"/>
  <c r="AP171" i="35"/>
  <c r="AT140" i="35"/>
  <c r="AE140" i="35"/>
  <c r="S143" i="35"/>
  <c r="T142" i="35"/>
  <c r="BG186" i="35"/>
  <c r="R142" i="35"/>
  <c r="V141" i="35"/>
  <c r="O189" i="35"/>
  <c r="P189" i="35" s="1"/>
  <c r="Q189" i="35" s="1"/>
  <c r="AH187" i="35"/>
  <c r="AH185" i="35"/>
  <c r="AH183" i="35"/>
  <c r="O188" i="35"/>
  <c r="P188" i="35" s="1"/>
  <c r="Q188" i="35" s="1"/>
  <c r="O186" i="35"/>
  <c r="P186" i="35" s="1"/>
  <c r="Q186" i="35" s="1"/>
  <c r="O187" i="35"/>
  <c r="P187" i="35" s="1"/>
  <c r="Q187" i="35" s="1"/>
  <c r="O185" i="35"/>
  <c r="P185" i="35" s="1"/>
  <c r="Q185" i="35" s="1"/>
  <c r="AH181" i="35"/>
  <c r="O181" i="35"/>
  <c r="P181" i="35" s="1"/>
  <c r="Q181" i="35" s="1"/>
  <c r="J178" i="35"/>
  <c r="P178" i="35" s="1"/>
  <c r="Q178" i="35" s="1"/>
  <c r="S178" i="35" s="1"/>
  <c r="T178" i="35" s="1"/>
  <c r="AH188" i="35"/>
  <c r="AH186" i="35"/>
  <c r="AH184" i="35"/>
  <c r="O184" i="35"/>
  <c r="P184" i="35" s="1"/>
  <c r="Q184" i="35" s="1"/>
  <c r="O183" i="35"/>
  <c r="P183" i="35" s="1"/>
  <c r="Q183" i="35" s="1"/>
  <c r="AH182" i="35"/>
  <c r="O182" i="35"/>
  <c r="P182" i="35" s="1"/>
  <c r="Q182" i="35" s="1"/>
  <c r="O179" i="35"/>
  <c r="P179" i="35" s="1"/>
  <c r="Q179" i="35" s="1"/>
  <c r="AH179" i="35"/>
  <c r="AH178" i="35"/>
  <c r="AH189" i="35"/>
  <c r="O180" i="35"/>
  <c r="P180" i="35" s="1"/>
  <c r="Q180" i="35" s="1"/>
  <c r="AH180" i="35"/>
  <c r="AP161" i="26"/>
  <c r="AP162" i="26"/>
  <c r="AP163" i="26"/>
  <c r="AP164" i="26"/>
  <c r="AP160" i="26"/>
  <c r="AP159" i="26"/>
  <c r="AP140" i="26"/>
  <c r="AP141" i="26"/>
  <c r="AP142" i="26"/>
  <c r="AP143" i="26"/>
  <c r="AP144" i="26"/>
  <c r="AP145" i="26"/>
  <c r="AP146" i="26"/>
  <c r="AP147" i="26"/>
  <c r="AP148" i="26"/>
  <c r="AP149" i="26"/>
  <c r="AP139" i="26"/>
  <c r="AP138" i="26"/>
  <c r="C14" i="26"/>
  <c r="C11" i="26"/>
  <c r="AE140" i="36" l="1"/>
  <c r="AT140" i="36"/>
  <c r="AQ147" i="26"/>
  <c r="AQ143" i="26"/>
  <c r="AQ138" i="26"/>
  <c r="AQ139" i="26"/>
  <c r="AQ149" i="26"/>
  <c r="AQ144" i="26"/>
  <c r="AQ142" i="26"/>
  <c r="AQ141" i="26"/>
  <c r="AQ148" i="26"/>
  <c r="AQ140" i="26"/>
  <c r="AQ146" i="26"/>
  <c r="AQ145" i="26"/>
  <c r="AI189" i="36"/>
  <c r="X177" i="36" s="1"/>
  <c r="Z177" i="36" s="1"/>
  <c r="AJ177" i="36"/>
  <c r="AK177" i="36" s="1"/>
  <c r="AL177" i="36" s="1"/>
  <c r="AM177" i="36"/>
  <c r="AN177" i="36" s="1"/>
  <c r="AO177" i="36" s="1"/>
  <c r="R178" i="36"/>
  <c r="S178" i="36" s="1"/>
  <c r="V177" i="36"/>
  <c r="AJ185" i="36"/>
  <c r="AK185" i="36" s="1"/>
  <c r="AL185" i="36" s="1"/>
  <c r="AM185" i="36"/>
  <c r="AN185" i="36" s="1"/>
  <c r="AO185" i="36" s="1"/>
  <c r="AJ179" i="36"/>
  <c r="AK179" i="36" s="1"/>
  <c r="AL179" i="36" s="1"/>
  <c r="AM179" i="36"/>
  <c r="AN179" i="36" s="1"/>
  <c r="AO179" i="36" s="1"/>
  <c r="AM178" i="36"/>
  <c r="AN178" i="36" s="1"/>
  <c r="AO178" i="36" s="1"/>
  <c r="AJ178" i="36"/>
  <c r="AK178" i="36" s="1"/>
  <c r="AL178" i="36" s="1"/>
  <c r="V142" i="36"/>
  <c r="R143" i="36"/>
  <c r="AJ184" i="36"/>
  <c r="AK184" i="36" s="1"/>
  <c r="AL184" i="36" s="1"/>
  <c r="AM184" i="36"/>
  <c r="AN184" i="36" s="1"/>
  <c r="AO184" i="36" s="1"/>
  <c r="AJ186" i="36"/>
  <c r="AK186" i="36" s="1"/>
  <c r="AL186" i="36" s="1"/>
  <c r="AM186" i="36"/>
  <c r="AN186" i="36" s="1"/>
  <c r="AO186" i="36" s="1"/>
  <c r="AJ180" i="36"/>
  <c r="AK180" i="36" s="1"/>
  <c r="AL180" i="36" s="1"/>
  <c r="AM180" i="36"/>
  <c r="AN180" i="36" s="1"/>
  <c r="AO180" i="36" s="1"/>
  <c r="AJ181" i="36"/>
  <c r="AK181" i="36" s="1"/>
  <c r="AL181" i="36" s="1"/>
  <c r="AM181" i="36"/>
  <c r="AN181" i="36" s="1"/>
  <c r="AO181" i="36" s="1"/>
  <c r="AE141" i="36"/>
  <c r="AT141" i="36"/>
  <c r="BG176" i="36"/>
  <c r="AJ182" i="36"/>
  <c r="AK182" i="36" s="1"/>
  <c r="AL182" i="36" s="1"/>
  <c r="AM182" i="36"/>
  <c r="AN182" i="36" s="1"/>
  <c r="AO182" i="36" s="1"/>
  <c r="T143" i="36"/>
  <c r="S144" i="36"/>
  <c r="AJ183" i="36"/>
  <c r="AK183" i="36" s="1"/>
  <c r="AL183" i="36" s="1"/>
  <c r="AM183" i="36"/>
  <c r="AN183" i="36" s="1"/>
  <c r="AO183" i="36" s="1"/>
  <c r="AE141" i="35"/>
  <c r="AT141" i="35"/>
  <c r="R179" i="35"/>
  <c r="S179" i="35" s="1"/>
  <c r="V178" i="35"/>
  <c r="AM185" i="35"/>
  <c r="AN185" i="35" s="1"/>
  <c r="AO185" i="35" s="1"/>
  <c r="AJ185" i="35"/>
  <c r="AK185" i="35" s="1"/>
  <c r="AL185" i="35" s="1"/>
  <c r="AI185" i="35"/>
  <c r="R143" i="35"/>
  <c r="V142" i="35"/>
  <c r="AJ180" i="35"/>
  <c r="AK180" i="35" s="1"/>
  <c r="AL180" i="35" s="1"/>
  <c r="AM180" i="35"/>
  <c r="AN180" i="35" s="1"/>
  <c r="AO180" i="35" s="1"/>
  <c r="AI180" i="35"/>
  <c r="BG187" i="35"/>
  <c r="AM189" i="35"/>
  <c r="AN189" i="35" s="1"/>
  <c r="AO189" i="35" s="1"/>
  <c r="AI189" i="35"/>
  <c r="AJ189" i="35"/>
  <c r="AK189" i="35" s="1"/>
  <c r="AL189" i="35" s="1"/>
  <c r="AJ184" i="35"/>
  <c r="AK184" i="35" s="1"/>
  <c r="AL184" i="35" s="1"/>
  <c r="AM184" i="35"/>
  <c r="AN184" i="35" s="1"/>
  <c r="AO184" i="35" s="1"/>
  <c r="AI184" i="35"/>
  <c r="AM187" i="35"/>
  <c r="AN187" i="35" s="1"/>
  <c r="AO187" i="35" s="1"/>
  <c r="AJ187" i="35"/>
  <c r="AK187" i="35" s="1"/>
  <c r="AL187" i="35" s="1"/>
  <c r="AI187" i="35"/>
  <c r="S144" i="35"/>
  <c r="T143" i="35"/>
  <c r="AJ179" i="35"/>
  <c r="AK179" i="35" s="1"/>
  <c r="AL179" i="35" s="1"/>
  <c r="AM179" i="35"/>
  <c r="AN179" i="35" s="1"/>
  <c r="AO179" i="35" s="1"/>
  <c r="AI179" i="35"/>
  <c r="AJ188" i="35"/>
  <c r="AK188" i="35" s="1"/>
  <c r="AL188" i="35" s="1"/>
  <c r="AM188" i="35"/>
  <c r="AN188" i="35" s="1"/>
  <c r="AO188" i="35" s="1"/>
  <c r="AI188" i="35"/>
  <c r="AI183" i="35"/>
  <c r="AM183" i="35"/>
  <c r="AN183" i="35" s="1"/>
  <c r="AO183" i="35" s="1"/>
  <c r="AJ183" i="35"/>
  <c r="AK183" i="35" s="1"/>
  <c r="AL183" i="35" s="1"/>
  <c r="AJ178" i="35"/>
  <c r="AK178" i="35" s="1"/>
  <c r="AL178" i="35" s="1"/>
  <c r="AM178" i="35"/>
  <c r="AN178" i="35" s="1"/>
  <c r="AO178" i="35" s="1"/>
  <c r="AI178" i="35"/>
  <c r="AJ182" i="35"/>
  <c r="AK182" i="35" s="1"/>
  <c r="AL182" i="35" s="1"/>
  <c r="AI182" i="35"/>
  <c r="AM182" i="35"/>
  <c r="AN182" i="35" s="1"/>
  <c r="AO182" i="35" s="1"/>
  <c r="AJ186" i="35"/>
  <c r="AK186" i="35" s="1"/>
  <c r="AL186" i="35" s="1"/>
  <c r="AM186" i="35"/>
  <c r="AN186" i="35" s="1"/>
  <c r="AO186" i="35" s="1"/>
  <c r="AI186" i="35"/>
  <c r="AM181" i="35"/>
  <c r="AN181" i="35" s="1"/>
  <c r="AO181" i="35" s="1"/>
  <c r="AI181" i="35"/>
  <c r="AJ181" i="35"/>
  <c r="AK181" i="35" s="1"/>
  <c r="AL181" i="35" s="1"/>
  <c r="AS180" i="36" l="1"/>
  <c r="AS184" i="36"/>
  <c r="AS185" i="36"/>
  <c r="AI191" i="36"/>
  <c r="C201" i="36" s="1"/>
  <c r="AS181" i="36"/>
  <c r="AS186" i="36"/>
  <c r="AS179" i="36"/>
  <c r="AS177" i="36"/>
  <c r="AS178" i="36"/>
  <c r="T144" i="36"/>
  <c r="S145" i="36"/>
  <c r="V143" i="36"/>
  <c r="R144" i="36"/>
  <c r="AE177" i="36"/>
  <c r="AT177" i="36"/>
  <c r="BG177" i="36"/>
  <c r="AS183" i="36"/>
  <c r="AS182" i="36"/>
  <c r="AT142" i="36"/>
  <c r="AE142" i="36"/>
  <c r="S179" i="36"/>
  <c r="T178" i="36"/>
  <c r="AS181" i="35"/>
  <c r="AS182" i="35"/>
  <c r="AS178" i="35"/>
  <c r="AS180" i="35"/>
  <c r="AS184" i="35"/>
  <c r="AS189" i="35"/>
  <c r="AS188" i="35"/>
  <c r="AI190" i="35"/>
  <c r="X178" i="35" s="1"/>
  <c r="Z178" i="35" s="1"/>
  <c r="S180" i="35"/>
  <c r="T179" i="35"/>
  <c r="AS183" i="35"/>
  <c r="BG188" i="35"/>
  <c r="V143" i="35"/>
  <c r="R144" i="35"/>
  <c r="AS187" i="35"/>
  <c r="AE142" i="35"/>
  <c r="AT142" i="35"/>
  <c r="AS185" i="35"/>
  <c r="AS186" i="35"/>
  <c r="AS179" i="35"/>
  <c r="T144" i="35"/>
  <c r="S145" i="35"/>
  <c r="AE178" i="35"/>
  <c r="AT178" i="35"/>
  <c r="AM195" i="36" l="1"/>
  <c r="AN195" i="36" s="1"/>
  <c r="AO195" i="36" s="1"/>
  <c r="AM192" i="36"/>
  <c r="AN192" i="36" s="1"/>
  <c r="AO192" i="36" s="1"/>
  <c r="BG178" i="36"/>
  <c r="AT143" i="36"/>
  <c r="AE143" i="36"/>
  <c r="O225" i="36"/>
  <c r="P225" i="36" s="1"/>
  <c r="Q225" i="36" s="1"/>
  <c r="O223" i="36"/>
  <c r="P223" i="36" s="1"/>
  <c r="Q223" i="36" s="1"/>
  <c r="O221" i="36"/>
  <c r="P221" i="36" s="1"/>
  <c r="Q221" i="36" s="1"/>
  <c r="O219" i="36"/>
  <c r="P219" i="36" s="1"/>
  <c r="Q219" i="36" s="1"/>
  <c r="O217" i="36"/>
  <c r="P217" i="36" s="1"/>
  <c r="Q217" i="36" s="1"/>
  <c r="AH226" i="36"/>
  <c r="AH224" i="36"/>
  <c r="AH222" i="36"/>
  <c r="AH220" i="36"/>
  <c r="AH218" i="36"/>
  <c r="AH216" i="36"/>
  <c r="O226" i="36"/>
  <c r="P226" i="36" s="1"/>
  <c r="Q226" i="36" s="1"/>
  <c r="AH221" i="36"/>
  <c r="O218" i="36"/>
  <c r="P218" i="36" s="1"/>
  <c r="Q218" i="36" s="1"/>
  <c r="AH214" i="36"/>
  <c r="AH212" i="36"/>
  <c r="O224" i="36"/>
  <c r="P224" i="36" s="1"/>
  <c r="Q224" i="36" s="1"/>
  <c r="AH219" i="36"/>
  <c r="AH223" i="36"/>
  <c r="O222" i="36"/>
  <c r="P222" i="36" s="1"/>
  <c r="Q222" i="36" s="1"/>
  <c r="O215" i="36"/>
  <c r="P215" i="36" s="1"/>
  <c r="Q215" i="36" s="1"/>
  <c r="O213" i="36"/>
  <c r="P213" i="36" s="1"/>
  <c r="Q213" i="36" s="1"/>
  <c r="O211" i="36"/>
  <c r="P211" i="36" s="1"/>
  <c r="Q211" i="36" s="1"/>
  <c r="AH210" i="36"/>
  <c r="AH209" i="36"/>
  <c r="AH208" i="36"/>
  <c r="AH207" i="36"/>
  <c r="AH225" i="36"/>
  <c r="AH215" i="36"/>
  <c r="AH213" i="36"/>
  <c r="AH211" i="36"/>
  <c r="O210" i="36"/>
  <c r="P210" i="36" s="1"/>
  <c r="Q210" i="36" s="1"/>
  <c r="O209" i="36"/>
  <c r="P209" i="36" s="1"/>
  <c r="Q209" i="36" s="1"/>
  <c r="O208" i="36"/>
  <c r="P208" i="36" s="1"/>
  <c r="Q208" i="36" s="1"/>
  <c r="O207" i="36"/>
  <c r="P207" i="36" s="1"/>
  <c r="Q207" i="36" s="1"/>
  <c r="O206" i="36"/>
  <c r="P206" i="36" s="1"/>
  <c r="Q206" i="36" s="1"/>
  <c r="O205" i="36"/>
  <c r="P205" i="36" s="1"/>
  <c r="Q205" i="36" s="1"/>
  <c r="O204" i="36"/>
  <c r="P204" i="36" s="1"/>
  <c r="Q204" i="36" s="1"/>
  <c r="O203" i="36"/>
  <c r="P203" i="36" s="1"/>
  <c r="Q203" i="36" s="1"/>
  <c r="O202" i="36"/>
  <c r="P202" i="36" s="1"/>
  <c r="Q202" i="36" s="1"/>
  <c r="J201" i="36"/>
  <c r="K201" i="36" s="1"/>
  <c r="L201" i="36" s="1"/>
  <c r="M201" i="36" s="1"/>
  <c r="N201" i="36" s="1"/>
  <c r="O216" i="36"/>
  <c r="P216" i="36" s="1"/>
  <c r="Q216" i="36" s="1"/>
  <c r="O214" i="36"/>
  <c r="P214" i="36" s="1"/>
  <c r="Q214" i="36" s="1"/>
  <c r="O212" i="36"/>
  <c r="P212" i="36" s="1"/>
  <c r="Q212" i="36" s="1"/>
  <c r="AH205" i="36"/>
  <c r="AH217" i="36"/>
  <c r="AH206" i="36"/>
  <c r="AH202" i="36"/>
  <c r="O201" i="36"/>
  <c r="P201" i="36" s="1"/>
  <c r="O220" i="36"/>
  <c r="P220" i="36" s="1"/>
  <c r="Q220" i="36" s="1"/>
  <c r="AH203" i="36"/>
  <c r="AH201" i="36"/>
  <c r="AH204" i="36"/>
  <c r="R145" i="36"/>
  <c r="V144" i="36"/>
  <c r="V178" i="36"/>
  <c r="R179" i="36"/>
  <c r="T179" i="36"/>
  <c r="S180" i="36"/>
  <c r="S146" i="36"/>
  <c r="T145" i="36"/>
  <c r="BG189" i="35"/>
  <c r="S181" i="35"/>
  <c r="T180" i="35"/>
  <c r="AT143" i="35"/>
  <c r="AE143" i="35"/>
  <c r="T145" i="35"/>
  <c r="S146" i="35"/>
  <c r="R145" i="35"/>
  <c r="V144" i="35"/>
  <c r="R180" i="35"/>
  <c r="V179" i="35"/>
  <c r="AI192" i="35"/>
  <c r="AP179" i="23"/>
  <c r="AP180" i="23"/>
  <c r="AP181" i="23"/>
  <c r="AP182" i="23"/>
  <c r="AP183" i="23"/>
  <c r="AP184" i="23"/>
  <c r="AP185" i="23"/>
  <c r="AP186" i="23"/>
  <c r="AP187" i="23"/>
  <c r="AP188" i="23"/>
  <c r="AP189" i="23"/>
  <c r="AP190" i="23"/>
  <c r="AP191" i="23"/>
  <c r="AP192" i="23"/>
  <c r="AP193" i="23"/>
  <c r="AP194" i="23"/>
  <c r="AP195" i="23"/>
  <c r="AP196" i="23"/>
  <c r="AP197" i="23"/>
  <c r="AP198" i="23"/>
  <c r="AP199" i="23"/>
  <c r="AP200" i="23"/>
  <c r="AP201" i="23"/>
  <c r="AP202" i="23"/>
  <c r="AP178" i="23"/>
  <c r="AP177" i="23"/>
  <c r="J197" i="23"/>
  <c r="K197" i="23" s="1"/>
  <c r="L197" i="23" s="1"/>
  <c r="M197" i="23" s="1"/>
  <c r="N197" i="23" s="1"/>
  <c r="J198" i="23"/>
  <c r="K198" i="23" s="1"/>
  <c r="L198" i="23" s="1"/>
  <c r="M198" i="23" s="1"/>
  <c r="N198" i="23" s="1"/>
  <c r="J199" i="23"/>
  <c r="K199" i="23" s="1"/>
  <c r="L199" i="23" s="1"/>
  <c r="M199" i="23" s="1"/>
  <c r="N199" i="23" s="1"/>
  <c r="J200" i="23"/>
  <c r="K200" i="23" s="1"/>
  <c r="L200" i="23" s="1"/>
  <c r="M200" i="23" s="1"/>
  <c r="N200" i="23" s="1"/>
  <c r="J201" i="23"/>
  <c r="K201" i="23" s="1"/>
  <c r="L201" i="23" s="1"/>
  <c r="M201" i="23" s="1"/>
  <c r="N201" i="23" s="1"/>
  <c r="J202" i="23"/>
  <c r="K202" i="23" s="1"/>
  <c r="L202" i="23" s="1"/>
  <c r="M202" i="23" s="1"/>
  <c r="N202" i="23" s="1"/>
  <c r="G197" i="23"/>
  <c r="G198" i="23"/>
  <c r="G199" i="23"/>
  <c r="G200" i="23"/>
  <c r="G201" i="23"/>
  <c r="G202" i="23"/>
  <c r="AP155" i="23"/>
  <c r="AP156" i="23"/>
  <c r="AP157" i="23"/>
  <c r="AP158" i="23"/>
  <c r="AP159" i="23"/>
  <c r="AP160" i="23"/>
  <c r="AP161" i="23"/>
  <c r="AP162" i="23"/>
  <c r="AP163" i="23"/>
  <c r="AP164" i="23"/>
  <c r="AP154" i="23"/>
  <c r="AP153" i="23"/>
  <c r="C14" i="23"/>
  <c r="C11" i="23"/>
  <c r="AP195" i="36" l="1"/>
  <c r="Q201" i="36"/>
  <c r="S201" i="36" s="1"/>
  <c r="T201" i="36" s="1"/>
  <c r="V201" i="36" s="1"/>
  <c r="S147" i="36"/>
  <c r="T146" i="36"/>
  <c r="AJ201" i="36"/>
  <c r="AK201" i="36" s="1"/>
  <c r="AL201" i="36" s="1"/>
  <c r="AM201" i="36"/>
  <c r="AN201" i="36" s="1"/>
  <c r="AO201" i="36" s="1"/>
  <c r="AM212" i="36"/>
  <c r="AN212" i="36" s="1"/>
  <c r="AO212" i="36" s="1"/>
  <c r="AJ212" i="36"/>
  <c r="AK212" i="36" s="1"/>
  <c r="AL212" i="36" s="1"/>
  <c r="AJ222" i="36"/>
  <c r="AK222" i="36" s="1"/>
  <c r="AL222" i="36" s="1"/>
  <c r="AM222" i="36"/>
  <c r="AN222" i="36" s="1"/>
  <c r="AO222" i="36" s="1"/>
  <c r="R180" i="36"/>
  <c r="V179" i="36"/>
  <c r="AE144" i="36"/>
  <c r="AT144" i="36"/>
  <c r="AJ203" i="36"/>
  <c r="AK203" i="36" s="1"/>
  <c r="AL203" i="36" s="1"/>
  <c r="AM203" i="36"/>
  <c r="AN203" i="36" s="1"/>
  <c r="AO203" i="36" s="1"/>
  <c r="AM206" i="36"/>
  <c r="AN206" i="36" s="1"/>
  <c r="AO206" i="36" s="1"/>
  <c r="AJ206" i="36"/>
  <c r="AK206" i="36" s="1"/>
  <c r="AL206" i="36" s="1"/>
  <c r="AJ211" i="36"/>
  <c r="AK211" i="36" s="1"/>
  <c r="AL211" i="36" s="1"/>
  <c r="AM211" i="36"/>
  <c r="AN211" i="36" s="1"/>
  <c r="AO211" i="36" s="1"/>
  <c r="AM207" i="36"/>
  <c r="AN207" i="36" s="1"/>
  <c r="AO207" i="36" s="1"/>
  <c r="AJ207" i="36"/>
  <c r="AK207" i="36" s="1"/>
  <c r="AL207" i="36" s="1"/>
  <c r="AM223" i="36"/>
  <c r="AN223" i="36" s="1"/>
  <c r="AO223" i="36" s="1"/>
  <c r="AJ223" i="36"/>
  <c r="AK223" i="36" s="1"/>
  <c r="AL223" i="36" s="1"/>
  <c r="AM214" i="36"/>
  <c r="AN214" i="36" s="1"/>
  <c r="AO214" i="36" s="1"/>
  <c r="AJ214" i="36"/>
  <c r="AK214" i="36" s="1"/>
  <c r="AL214" i="36" s="1"/>
  <c r="AM216" i="36"/>
  <c r="AN216" i="36" s="1"/>
  <c r="AO216" i="36" s="1"/>
  <c r="AJ216" i="36"/>
  <c r="AK216" i="36" s="1"/>
  <c r="AL216" i="36" s="1"/>
  <c r="AJ224" i="36"/>
  <c r="AK224" i="36" s="1"/>
  <c r="AL224" i="36" s="1"/>
  <c r="AM224" i="36"/>
  <c r="AN224" i="36" s="1"/>
  <c r="AO224" i="36" s="1"/>
  <c r="BG179" i="36"/>
  <c r="AM210" i="36"/>
  <c r="AN210" i="36" s="1"/>
  <c r="AO210" i="36" s="1"/>
  <c r="AJ210" i="36"/>
  <c r="AK210" i="36" s="1"/>
  <c r="AL210" i="36" s="1"/>
  <c r="AM217" i="36"/>
  <c r="AN217" i="36" s="1"/>
  <c r="AO217" i="36" s="1"/>
  <c r="AJ217" i="36"/>
  <c r="AK217" i="36" s="1"/>
  <c r="AL217" i="36" s="1"/>
  <c r="AJ213" i="36"/>
  <c r="AK213" i="36" s="1"/>
  <c r="AL213" i="36" s="1"/>
  <c r="AM213" i="36"/>
  <c r="AN213" i="36" s="1"/>
  <c r="AO213" i="36" s="1"/>
  <c r="AM208" i="36"/>
  <c r="AN208" i="36" s="1"/>
  <c r="AO208" i="36" s="1"/>
  <c r="AJ208" i="36"/>
  <c r="AK208" i="36" s="1"/>
  <c r="AL208" i="36" s="1"/>
  <c r="AJ219" i="36"/>
  <c r="AK219" i="36" s="1"/>
  <c r="AL219" i="36" s="1"/>
  <c r="AM219" i="36"/>
  <c r="AN219" i="36" s="1"/>
  <c r="AO219" i="36" s="1"/>
  <c r="AJ218" i="36"/>
  <c r="AK218" i="36" s="1"/>
  <c r="AL218" i="36" s="1"/>
  <c r="AM218" i="36"/>
  <c r="AN218" i="36" s="1"/>
  <c r="AO218" i="36" s="1"/>
  <c r="AJ226" i="36"/>
  <c r="AK226" i="36" s="1"/>
  <c r="AL226" i="36" s="1"/>
  <c r="AM226" i="36"/>
  <c r="AN226" i="36" s="1"/>
  <c r="AO226" i="36" s="1"/>
  <c r="S181" i="36"/>
  <c r="T180" i="36"/>
  <c r="AJ202" i="36"/>
  <c r="AK202" i="36" s="1"/>
  <c r="AL202" i="36" s="1"/>
  <c r="AM202" i="36"/>
  <c r="AN202" i="36" s="1"/>
  <c r="AO202" i="36" s="1"/>
  <c r="AM225" i="36"/>
  <c r="AN225" i="36" s="1"/>
  <c r="AO225" i="36" s="1"/>
  <c r="AJ225" i="36"/>
  <c r="AK225" i="36" s="1"/>
  <c r="AL225" i="36" s="1"/>
  <c r="R146" i="36"/>
  <c r="V145" i="36"/>
  <c r="AT178" i="36"/>
  <c r="AE178" i="36"/>
  <c r="AM204" i="36"/>
  <c r="AN204" i="36" s="1"/>
  <c r="AO204" i="36" s="1"/>
  <c r="AJ204" i="36"/>
  <c r="AK204" i="36" s="1"/>
  <c r="AL204" i="36" s="1"/>
  <c r="R202" i="36"/>
  <c r="S202" i="36" s="1"/>
  <c r="AM205" i="36"/>
  <c r="AN205" i="36" s="1"/>
  <c r="AO205" i="36" s="1"/>
  <c r="AJ205" i="36"/>
  <c r="AK205" i="36" s="1"/>
  <c r="AL205" i="36" s="1"/>
  <c r="AJ215" i="36"/>
  <c r="AK215" i="36" s="1"/>
  <c r="AL215" i="36" s="1"/>
  <c r="AM215" i="36"/>
  <c r="AN215" i="36" s="1"/>
  <c r="AO215" i="36" s="1"/>
  <c r="AM209" i="36"/>
  <c r="AN209" i="36" s="1"/>
  <c r="AO209" i="36" s="1"/>
  <c r="AJ209" i="36"/>
  <c r="AK209" i="36" s="1"/>
  <c r="AL209" i="36" s="1"/>
  <c r="AM221" i="36"/>
  <c r="AN221" i="36" s="1"/>
  <c r="AO221" i="36" s="1"/>
  <c r="AJ221" i="36"/>
  <c r="AK221" i="36" s="1"/>
  <c r="AL221" i="36" s="1"/>
  <c r="AJ220" i="36"/>
  <c r="AK220" i="36" s="1"/>
  <c r="AL220" i="36" s="1"/>
  <c r="AM220" i="36"/>
  <c r="AN220" i="36" s="1"/>
  <c r="AO220" i="36" s="1"/>
  <c r="AT144" i="35"/>
  <c r="AE144" i="35"/>
  <c r="S147" i="35"/>
  <c r="T146" i="35"/>
  <c r="BG190" i="35"/>
  <c r="C202" i="35"/>
  <c r="AM193" i="35"/>
  <c r="AN193" i="35" s="1"/>
  <c r="AO193" i="35" s="1"/>
  <c r="AM196" i="35"/>
  <c r="AN196" i="35" s="1"/>
  <c r="AO196" i="35" s="1"/>
  <c r="AE179" i="35"/>
  <c r="AT179" i="35"/>
  <c r="R146" i="35"/>
  <c r="V145" i="35"/>
  <c r="V180" i="35"/>
  <c r="R181" i="35"/>
  <c r="T181" i="35"/>
  <c r="S182" i="35"/>
  <c r="AP150" i="3"/>
  <c r="AP179" i="3"/>
  <c r="AP180" i="3"/>
  <c r="AP181" i="3"/>
  <c r="AP182" i="3"/>
  <c r="AP183" i="3"/>
  <c r="AP184" i="3"/>
  <c r="AP185" i="3"/>
  <c r="AP186" i="3"/>
  <c r="AP187" i="3"/>
  <c r="AP188" i="3"/>
  <c r="AP189" i="3"/>
  <c r="AP190" i="3"/>
  <c r="AP191" i="3"/>
  <c r="AP192" i="3"/>
  <c r="AP193" i="3"/>
  <c r="AP194" i="3"/>
  <c r="AP195" i="3"/>
  <c r="AP196" i="3"/>
  <c r="AP197" i="3"/>
  <c r="AP198" i="3"/>
  <c r="AP199" i="3"/>
  <c r="AP200" i="3"/>
  <c r="AP201" i="3"/>
  <c r="AP202" i="3"/>
  <c r="AP178" i="3"/>
  <c r="AP177" i="3"/>
  <c r="J197" i="3"/>
  <c r="K197" i="3" s="1"/>
  <c r="L197" i="3" s="1"/>
  <c r="M197" i="3" s="1"/>
  <c r="N197" i="3" s="1"/>
  <c r="J198" i="3"/>
  <c r="K198" i="3" s="1"/>
  <c r="L198" i="3" s="1"/>
  <c r="M198" i="3" s="1"/>
  <c r="N198" i="3" s="1"/>
  <c r="J199" i="3"/>
  <c r="K199" i="3" s="1"/>
  <c r="L199" i="3" s="1"/>
  <c r="M199" i="3" s="1"/>
  <c r="N199" i="3" s="1"/>
  <c r="J200" i="3"/>
  <c r="K200" i="3" s="1"/>
  <c r="L200" i="3" s="1"/>
  <c r="M200" i="3" s="1"/>
  <c r="N200" i="3" s="1"/>
  <c r="J201" i="3"/>
  <c r="K201" i="3" s="1"/>
  <c r="L201" i="3" s="1"/>
  <c r="M201" i="3" s="1"/>
  <c r="N201" i="3" s="1"/>
  <c r="J202" i="3"/>
  <c r="K202" i="3" s="1"/>
  <c r="L202" i="3" s="1"/>
  <c r="M202" i="3" s="1"/>
  <c r="N202" i="3" s="1"/>
  <c r="G197" i="3"/>
  <c r="G198" i="3"/>
  <c r="G199" i="3"/>
  <c r="G200" i="3"/>
  <c r="G201" i="3"/>
  <c r="G202" i="3"/>
  <c r="AP152" i="3"/>
  <c r="AP153" i="3"/>
  <c r="AP154" i="3"/>
  <c r="AP155" i="3"/>
  <c r="AP156" i="3"/>
  <c r="AP157" i="3"/>
  <c r="AP158" i="3"/>
  <c r="AP159" i="3"/>
  <c r="AP160" i="3"/>
  <c r="AP161" i="3"/>
  <c r="AP151" i="3"/>
  <c r="C14" i="3"/>
  <c r="C11" i="3"/>
  <c r="AF140" i="30"/>
  <c r="AF141" i="30"/>
  <c r="AF142" i="30"/>
  <c r="AF143" i="30"/>
  <c r="AF144" i="30"/>
  <c r="AF145" i="30"/>
  <c r="AF146" i="30"/>
  <c r="AF147" i="30"/>
  <c r="AF148" i="30"/>
  <c r="AF149" i="30"/>
  <c r="AF150" i="30"/>
  <c r="AF151" i="30"/>
  <c r="AF152" i="30"/>
  <c r="AF153" i="30"/>
  <c r="AF154" i="30"/>
  <c r="AF155" i="30"/>
  <c r="AF156" i="30"/>
  <c r="AF157" i="30"/>
  <c r="AF158" i="30"/>
  <c r="AF159" i="30"/>
  <c r="AF160" i="30"/>
  <c r="AF161" i="30"/>
  <c r="AF162" i="30"/>
  <c r="AF163" i="30"/>
  <c r="AF139" i="30"/>
  <c r="AF138" i="30"/>
  <c r="J158" i="30"/>
  <c r="K158" i="30" s="1"/>
  <c r="L158" i="30" s="1"/>
  <c r="M158" i="30" s="1"/>
  <c r="N158" i="30" s="1"/>
  <c r="J159" i="30"/>
  <c r="K159" i="30" s="1"/>
  <c r="L159" i="30" s="1"/>
  <c r="M159" i="30" s="1"/>
  <c r="N159" i="30" s="1"/>
  <c r="J160" i="30"/>
  <c r="K160" i="30" s="1"/>
  <c r="L160" i="30" s="1"/>
  <c r="M160" i="30" s="1"/>
  <c r="N160" i="30" s="1"/>
  <c r="J161" i="30"/>
  <c r="K161" i="30" s="1"/>
  <c r="L161" i="30" s="1"/>
  <c r="M161" i="30" s="1"/>
  <c r="N161" i="30" s="1"/>
  <c r="J162" i="30"/>
  <c r="K162" i="30" s="1"/>
  <c r="L162" i="30" s="1"/>
  <c r="M162" i="30" s="1"/>
  <c r="N162" i="30" s="1"/>
  <c r="J163" i="30"/>
  <c r="K163" i="30" s="1"/>
  <c r="L163" i="30" s="1"/>
  <c r="M163" i="30" s="1"/>
  <c r="N163" i="30" s="1"/>
  <c r="G158" i="30"/>
  <c r="G159" i="30"/>
  <c r="G160" i="30"/>
  <c r="G161" i="30"/>
  <c r="G162" i="30"/>
  <c r="G163" i="30"/>
  <c r="AS202" i="36" l="1"/>
  <c r="AS226" i="36"/>
  <c r="AS219" i="36"/>
  <c r="AS213" i="36"/>
  <c r="AS214" i="36"/>
  <c r="AS207" i="36"/>
  <c r="AS206" i="36"/>
  <c r="AS211" i="36"/>
  <c r="AS203" i="36"/>
  <c r="AS225" i="36"/>
  <c r="AS209" i="36"/>
  <c r="AS205" i="36"/>
  <c r="AS204" i="36"/>
  <c r="AS215" i="36"/>
  <c r="AS218" i="36"/>
  <c r="AS222" i="36"/>
  <c r="AS201" i="36"/>
  <c r="S182" i="36"/>
  <c r="T181" i="36"/>
  <c r="AT201" i="36"/>
  <c r="AE145" i="36"/>
  <c r="AT145" i="36"/>
  <c r="AS208" i="36"/>
  <c r="AS217" i="36"/>
  <c r="BG180" i="36"/>
  <c r="AS221" i="36"/>
  <c r="S203" i="36"/>
  <c r="T202" i="36"/>
  <c r="AS216" i="36"/>
  <c r="AS223" i="36"/>
  <c r="AE179" i="36"/>
  <c r="AT179" i="36"/>
  <c r="R147" i="36"/>
  <c r="V146" i="36"/>
  <c r="AS220" i="36"/>
  <c r="V180" i="36"/>
  <c r="R181" i="36"/>
  <c r="AS210" i="36"/>
  <c r="AS224" i="36"/>
  <c r="AS212" i="36"/>
  <c r="T147" i="36"/>
  <c r="S148" i="36"/>
  <c r="AE180" i="35"/>
  <c r="AT180" i="35"/>
  <c r="S148" i="35"/>
  <c r="T147" i="35"/>
  <c r="AP196" i="35"/>
  <c r="T182" i="35"/>
  <c r="S183" i="35"/>
  <c r="V181" i="35"/>
  <c r="R182" i="35"/>
  <c r="BG191" i="35"/>
  <c r="AE145" i="35"/>
  <c r="AT145" i="35"/>
  <c r="O226" i="35"/>
  <c r="P226" i="35" s="1"/>
  <c r="Q226" i="35" s="1"/>
  <c r="O224" i="35"/>
  <c r="P224" i="35" s="1"/>
  <c r="Q224" i="35" s="1"/>
  <c r="O222" i="35"/>
  <c r="P222" i="35" s="1"/>
  <c r="Q222" i="35" s="1"/>
  <c r="O220" i="35"/>
  <c r="P220" i="35" s="1"/>
  <c r="Q220" i="35" s="1"/>
  <c r="AH227" i="35"/>
  <c r="AH225" i="35"/>
  <c r="AH223" i="35"/>
  <c r="AH221" i="35"/>
  <c r="AH219" i="35"/>
  <c r="O227" i="35"/>
  <c r="P227" i="35" s="1"/>
  <c r="Q227" i="35" s="1"/>
  <c r="O225" i="35"/>
  <c r="P225" i="35" s="1"/>
  <c r="Q225" i="35" s="1"/>
  <c r="O223" i="35"/>
  <c r="P223" i="35" s="1"/>
  <c r="Q223" i="35" s="1"/>
  <c r="O221" i="35"/>
  <c r="P221" i="35" s="1"/>
  <c r="Q221" i="35" s="1"/>
  <c r="O219" i="35"/>
  <c r="P219" i="35" s="1"/>
  <c r="Q219" i="35" s="1"/>
  <c r="AH222" i="35"/>
  <c r="AH218" i="35"/>
  <c r="O217" i="35"/>
  <c r="P217" i="35" s="1"/>
  <c r="Q217" i="35" s="1"/>
  <c r="O216" i="35"/>
  <c r="P216" i="35" s="1"/>
  <c r="Q216" i="35" s="1"/>
  <c r="O215" i="35"/>
  <c r="P215" i="35" s="1"/>
  <c r="Q215" i="35" s="1"/>
  <c r="O214" i="35"/>
  <c r="P214" i="35" s="1"/>
  <c r="Q214" i="35" s="1"/>
  <c r="O213" i="35"/>
  <c r="P213" i="35" s="1"/>
  <c r="Q213" i="35" s="1"/>
  <c r="O212" i="35"/>
  <c r="P212" i="35" s="1"/>
  <c r="Q212" i="35" s="1"/>
  <c r="AH220" i="35"/>
  <c r="AH226" i="35"/>
  <c r="AH217" i="35"/>
  <c r="AH215" i="35"/>
  <c r="AH213" i="35"/>
  <c r="AH202" i="35"/>
  <c r="O218" i="35"/>
  <c r="P218" i="35" s="1"/>
  <c r="Q218" i="35" s="1"/>
  <c r="AH210" i="35"/>
  <c r="AH209" i="35"/>
  <c r="AH208" i="35"/>
  <c r="AH207" i="35"/>
  <c r="AH206" i="35"/>
  <c r="AH205" i="35"/>
  <c r="AH204" i="35"/>
  <c r="AH203" i="35"/>
  <c r="O202" i="35"/>
  <c r="P202" i="35" s="1"/>
  <c r="O211" i="35"/>
  <c r="P211" i="35" s="1"/>
  <c r="Q211" i="35" s="1"/>
  <c r="O210" i="35"/>
  <c r="P210" i="35" s="1"/>
  <c r="Q210" i="35" s="1"/>
  <c r="O209" i="35"/>
  <c r="P209" i="35" s="1"/>
  <c r="Q209" i="35" s="1"/>
  <c r="O208" i="35"/>
  <c r="P208" i="35" s="1"/>
  <c r="Q208" i="35" s="1"/>
  <c r="O207" i="35"/>
  <c r="P207" i="35" s="1"/>
  <c r="Q207" i="35" s="1"/>
  <c r="O206" i="35"/>
  <c r="P206" i="35" s="1"/>
  <c r="Q206" i="35" s="1"/>
  <c r="O205" i="35"/>
  <c r="P205" i="35" s="1"/>
  <c r="Q205" i="35" s="1"/>
  <c r="O204" i="35"/>
  <c r="P204" i="35" s="1"/>
  <c r="Q204" i="35" s="1"/>
  <c r="O203" i="35"/>
  <c r="P203" i="35" s="1"/>
  <c r="Q203" i="35" s="1"/>
  <c r="AH211" i="35"/>
  <c r="AH214" i="35"/>
  <c r="AH216" i="35"/>
  <c r="J202" i="35"/>
  <c r="K202" i="35" s="1"/>
  <c r="L202" i="35" s="1"/>
  <c r="M202" i="35" s="1"/>
  <c r="N202" i="35" s="1"/>
  <c r="AH224" i="35"/>
  <c r="AH212" i="35"/>
  <c r="R147" i="35"/>
  <c r="V146" i="35"/>
  <c r="C12" i="30"/>
  <c r="G143" i="1"/>
  <c r="AG140" i="1"/>
  <c r="AG141" i="1"/>
  <c r="AG142" i="1"/>
  <c r="AG143" i="1"/>
  <c r="AG144" i="1"/>
  <c r="AG145" i="1"/>
  <c r="AG146" i="1"/>
  <c r="AG147" i="1"/>
  <c r="AG148" i="1"/>
  <c r="AG149" i="1"/>
  <c r="AG150" i="1"/>
  <c r="AG151" i="1"/>
  <c r="AG152" i="1"/>
  <c r="AG153" i="1"/>
  <c r="AG154" i="1"/>
  <c r="AG155" i="1"/>
  <c r="AG156" i="1"/>
  <c r="AG157" i="1"/>
  <c r="AG158" i="1"/>
  <c r="AG159" i="1"/>
  <c r="AG160" i="1"/>
  <c r="AG161" i="1"/>
  <c r="AG162" i="1"/>
  <c r="AG163" i="1"/>
  <c r="AG139" i="1"/>
  <c r="AG138" i="1"/>
  <c r="C12" i="1"/>
  <c r="J158" i="1"/>
  <c r="K158" i="1" s="1"/>
  <c r="M158" i="1" s="1"/>
  <c r="N158" i="1" s="1"/>
  <c r="O158" i="1" s="1"/>
  <c r="J159" i="1"/>
  <c r="K159" i="1" s="1"/>
  <c r="M159" i="1" s="1"/>
  <c r="N159" i="1" s="1"/>
  <c r="O159" i="1" s="1"/>
  <c r="J160" i="1"/>
  <c r="K160" i="1" s="1"/>
  <c r="M160" i="1" s="1"/>
  <c r="N160" i="1" s="1"/>
  <c r="O160" i="1" s="1"/>
  <c r="J161" i="1"/>
  <c r="K161" i="1" s="1"/>
  <c r="M161" i="1" s="1"/>
  <c r="N161" i="1" s="1"/>
  <c r="O161" i="1" s="1"/>
  <c r="J162" i="1"/>
  <c r="K162" i="1" s="1"/>
  <c r="M162" i="1" s="1"/>
  <c r="N162" i="1" s="1"/>
  <c r="O162" i="1" s="1"/>
  <c r="J163" i="1"/>
  <c r="K163" i="1" s="1"/>
  <c r="M163" i="1" s="1"/>
  <c r="N163" i="1" s="1"/>
  <c r="O163" i="1" s="1"/>
  <c r="AT146" i="36" l="1"/>
  <c r="AE146" i="36"/>
  <c r="R203" i="36"/>
  <c r="V202" i="36"/>
  <c r="T182" i="36"/>
  <c r="S183" i="36"/>
  <c r="AT180" i="36"/>
  <c r="AE180" i="36"/>
  <c r="S204" i="36"/>
  <c r="T203" i="36"/>
  <c r="R182" i="36"/>
  <c r="V181" i="36"/>
  <c r="T148" i="36"/>
  <c r="S149" i="36"/>
  <c r="V147" i="36"/>
  <c r="R148" i="36"/>
  <c r="BG181" i="36"/>
  <c r="Q202" i="35"/>
  <c r="S202" i="35" s="1"/>
  <c r="T202" i="35" s="1"/>
  <c r="R203" i="35" s="1"/>
  <c r="S203" i="35" s="1"/>
  <c r="AJ225" i="35"/>
  <c r="AK225" i="35" s="1"/>
  <c r="AL225" i="35" s="1"/>
  <c r="AM225" i="35"/>
  <c r="AN225" i="35" s="1"/>
  <c r="AO225" i="35" s="1"/>
  <c r="AM212" i="35"/>
  <c r="AN212" i="35" s="1"/>
  <c r="AO212" i="35" s="1"/>
  <c r="AJ212" i="35"/>
  <c r="AK212" i="35" s="1"/>
  <c r="AL212" i="35" s="1"/>
  <c r="AM217" i="35"/>
  <c r="AN217" i="35" s="1"/>
  <c r="AO217" i="35" s="1"/>
  <c r="AJ217" i="35"/>
  <c r="AK217" i="35" s="1"/>
  <c r="AL217" i="35" s="1"/>
  <c r="AM219" i="35"/>
  <c r="AN219" i="35" s="1"/>
  <c r="AO219" i="35" s="1"/>
  <c r="AJ219" i="35"/>
  <c r="AK219" i="35" s="1"/>
  <c r="AL219" i="35" s="1"/>
  <c r="AJ227" i="35"/>
  <c r="AK227" i="35" s="1"/>
  <c r="AL227" i="35" s="1"/>
  <c r="AM227" i="35"/>
  <c r="AN227" i="35" s="1"/>
  <c r="AO227" i="35" s="1"/>
  <c r="R183" i="35"/>
  <c r="V182" i="35"/>
  <c r="AM216" i="35"/>
  <c r="AN216" i="35" s="1"/>
  <c r="AO216" i="35" s="1"/>
  <c r="AJ216" i="35"/>
  <c r="AK216" i="35" s="1"/>
  <c r="AL216" i="35" s="1"/>
  <c r="AJ206" i="35"/>
  <c r="AK206" i="35" s="1"/>
  <c r="AL206" i="35" s="1"/>
  <c r="AM206" i="35"/>
  <c r="AN206" i="35" s="1"/>
  <c r="AO206" i="35" s="1"/>
  <c r="AJ210" i="35"/>
  <c r="AK210" i="35" s="1"/>
  <c r="AL210" i="35" s="1"/>
  <c r="AM210" i="35"/>
  <c r="AN210" i="35" s="1"/>
  <c r="AO210" i="35" s="1"/>
  <c r="AJ215" i="35"/>
  <c r="AK215" i="35" s="1"/>
  <c r="AL215" i="35" s="1"/>
  <c r="AM215" i="35"/>
  <c r="AN215" i="35" s="1"/>
  <c r="AO215" i="35" s="1"/>
  <c r="T148" i="35"/>
  <c r="S149" i="35"/>
  <c r="AM214" i="35"/>
  <c r="AN214" i="35" s="1"/>
  <c r="AO214" i="35" s="1"/>
  <c r="AJ214" i="35"/>
  <c r="AK214" i="35" s="1"/>
  <c r="AL214" i="35" s="1"/>
  <c r="AJ203" i="35"/>
  <c r="AK203" i="35" s="1"/>
  <c r="AL203" i="35" s="1"/>
  <c r="AM203" i="35"/>
  <c r="AN203" i="35" s="1"/>
  <c r="AO203" i="35" s="1"/>
  <c r="AJ207" i="35"/>
  <c r="AK207" i="35" s="1"/>
  <c r="AL207" i="35" s="1"/>
  <c r="AM207" i="35"/>
  <c r="AN207" i="35" s="1"/>
  <c r="AO207" i="35" s="1"/>
  <c r="AJ224" i="35"/>
  <c r="AK224" i="35" s="1"/>
  <c r="AL224" i="35" s="1"/>
  <c r="AM224" i="35"/>
  <c r="AN224" i="35" s="1"/>
  <c r="AO224" i="35" s="1"/>
  <c r="AM211" i="35"/>
  <c r="AN211" i="35" s="1"/>
  <c r="AO211" i="35" s="1"/>
  <c r="AJ211" i="35"/>
  <c r="AK211" i="35" s="1"/>
  <c r="AL211" i="35" s="1"/>
  <c r="AJ204" i="35"/>
  <c r="AK204" i="35" s="1"/>
  <c r="AL204" i="35" s="1"/>
  <c r="AM204" i="35"/>
  <c r="AN204" i="35" s="1"/>
  <c r="AO204" i="35" s="1"/>
  <c r="AJ208" i="35"/>
  <c r="AK208" i="35" s="1"/>
  <c r="AL208" i="35" s="1"/>
  <c r="AM208" i="35"/>
  <c r="AN208" i="35" s="1"/>
  <c r="AO208" i="35" s="1"/>
  <c r="AM202" i="35"/>
  <c r="AN202" i="35" s="1"/>
  <c r="AO202" i="35" s="1"/>
  <c r="AJ202" i="35"/>
  <c r="AK202" i="35" s="1"/>
  <c r="AL202" i="35" s="1"/>
  <c r="AJ226" i="35"/>
  <c r="AK226" i="35" s="1"/>
  <c r="AL226" i="35" s="1"/>
  <c r="AM226" i="35"/>
  <c r="AN226" i="35" s="1"/>
  <c r="AO226" i="35" s="1"/>
  <c r="AJ218" i="35"/>
  <c r="AK218" i="35" s="1"/>
  <c r="AL218" i="35" s="1"/>
  <c r="AM218" i="35"/>
  <c r="AN218" i="35" s="1"/>
  <c r="AO218" i="35" s="1"/>
  <c r="AJ221" i="35"/>
  <c r="AK221" i="35" s="1"/>
  <c r="AL221" i="35" s="1"/>
  <c r="AM221" i="35"/>
  <c r="AN221" i="35" s="1"/>
  <c r="AO221" i="35" s="1"/>
  <c r="T183" i="35"/>
  <c r="S184" i="35"/>
  <c r="AE146" i="35"/>
  <c r="AT146" i="35"/>
  <c r="AJ205" i="35"/>
  <c r="AK205" i="35" s="1"/>
  <c r="AL205" i="35" s="1"/>
  <c r="AM205" i="35"/>
  <c r="AN205" i="35" s="1"/>
  <c r="AO205" i="35" s="1"/>
  <c r="AJ209" i="35"/>
  <c r="AK209" i="35" s="1"/>
  <c r="AL209" i="35" s="1"/>
  <c r="AM209" i="35"/>
  <c r="AN209" i="35" s="1"/>
  <c r="AO209" i="35" s="1"/>
  <c r="AM213" i="35"/>
  <c r="AN213" i="35" s="1"/>
  <c r="AO213" i="35" s="1"/>
  <c r="AJ213" i="35"/>
  <c r="AK213" i="35" s="1"/>
  <c r="AL213" i="35" s="1"/>
  <c r="AJ220" i="35"/>
  <c r="AK220" i="35" s="1"/>
  <c r="AL220" i="35" s="1"/>
  <c r="AM220" i="35"/>
  <c r="AN220" i="35" s="1"/>
  <c r="AO220" i="35" s="1"/>
  <c r="AJ222" i="35"/>
  <c r="AK222" i="35" s="1"/>
  <c r="AL222" i="35" s="1"/>
  <c r="AM222" i="35"/>
  <c r="AN222" i="35" s="1"/>
  <c r="AO222" i="35" s="1"/>
  <c r="AJ223" i="35"/>
  <c r="AK223" i="35" s="1"/>
  <c r="AL223" i="35" s="1"/>
  <c r="AM223" i="35"/>
  <c r="AN223" i="35" s="1"/>
  <c r="AO223" i="35" s="1"/>
  <c r="BG192" i="35"/>
  <c r="AE181" i="35"/>
  <c r="AT181" i="35"/>
  <c r="V147" i="35"/>
  <c r="R148" i="35"/>
  <c r="G162" i="1"/>
  <c r="G163" i="1"/>
  <c r="G158" i="1"/>
  <c r="G159" i="1"/>
  <c r="G160" i="1"/>
  <c r="G161" i="1"/>
  <c r="V202" i="35" l="1"/>
  <c r="AT202" i="35" s="1"/>
  <c r="AT181" i="36"/>
  <c r="AE181" i="36"/>
  <c r="S205" i="36"/>
  <c r="T204" i="36"/>
  <c r="R183" i="36"/>
  <c r="V182" i="36"/>
  <c r="AT202" i="36"/>
  <c r="AT147" i="36"/>
  <c r="AE147" i="36"/>
  <c r="S150" i="36"/>
  <c r="T149" i="36"/>
  <c r="BG182" i="36"/>
  <c r="R149" i="36"/>
  <c r="V148" i="36"/>
  <c r="V203" i="36"/>
  <c r="R204" i="36"/>
  <c r="S184" i="36"/>
  <c r="T183" i="36"/>
  <c r="AS202" i="35"/>
  <c r="AS216" i="35"/>
  <c r="AS217" i="35"/>
  <c r="AS222" i="35"/>
  <c r="AS205" i="35"/>
  <c r="AS221" i="35"/>
  <c r="AS226" i="35"/>
  <c r="AS208" i="35"/>
  <c r="AS207" i="35"/>
  <c r="AS215" i="35"/>
  <c r="AS206" i="35"/>
  <c r="T203" i="35"/>
  <c r="S204" i="35"/>
  <c r="AE182" i="35"/>
  <c r="AT182" i="35"/>
  <c r="AT147" i="35"/>
  <c r="AE147" i="35"/>
  <c r="V183" i="35"/>
  <c r="R184" i="35"/>
  <c r="V148" i="35"/>
  <c r="R149" i="35"/>
  <c r="AS213" i="35"/>
  <c r="AS223" i="35"/>
  <c r="AS220" i="35"/>
  <c r="AS209" i="35"/>
  <c r="AS211" i="35"/>
  <c r="AS214" i="35"/>
  <c r="AS219" i="35"/>
  <c r="AS212" i="35"/>
  <c r="BG193" i="35"/>
  <c r="T184" i="35"/>
  <c r="S185" i="35"/>
  <c r="AS218" i="35"/>
  <c r="AS204" i="35"/>
  <c r="AS224" i="35"/>
  <c r="AS203" i="35"/>
  <c r="T149" i="35"/>
  <c r="S150" i="35"/>
  <c r="AS210" i="35"/>
  <c r="AS227" i="35"/>
  <c r="AS225" i="35"/>
  <c r="S151" i="36" l="1"/>
  <c r="T150" i="36"/>
  <c r="R205" i="36"/>
  <c r="V204" i="36"/>
  <c r="T184" i="36"/>
  <c r="S185" i="36"/>
  <c r="R150" i="36"/>
  <c r="V149" i="36"/>
  <c r="AE182" i="36"/>
  <c r="AT182" i="36"/>
  <c r="AT203" i="36"/>
  <c r="S206" i="36"/>
  <c r="T205" i="36"/>
  <c r="R184" i="36"/>
  <c r="V183" i="36"/>
  <c r="AE148" i="36"/>
  <c r="AT148" i="36"/>
  <c r="BG183" i="36"/>
  <c r="BG194" i="35"/>
  <c r="AT183" i="35"/>
  <c r="AE183" i="35"/>
  <c r="V203" i="35"/>
  <c r="R204" i="35"/>
  <c r="S186" i="35"/>
  <c r="T185" i="35"/>
  <c r="R185" i="35"/>
  <c r="V184" i="35"/>
  <c r="R150" i="35"/>
  <c r="V149" i="35"/>
  <c r="S151" i="35"/>
  <c r="T150" i="35"/>
  <c r="AT148" i="35"/>
  <c r="AE148" i="35"/>
  <c r="T204" i="35"/>
  <c r="S205" i="35"/>
  <c r="S207" i="36" l="1"/>
  <c r="T206" i="36"/>
  <c r="V150" i="36"/>
  <c r="R151" i="36"/>
  <c r="AT183" i="36"/>
  <c r="AE183" i="36"/>
  <c r="AT204" i="36"/>
  <c r="BG184" i="36"/>
  <c r="S186" i="36"/>
  <c r="T185" i="36"/>
  <c r="R185" i="36"/>
  <c r="V184" i="36"/>
  <c r="T151" i="36"/>
  <c r="S152" i="36"/>
  <c r="AE149" i="36"/>
  <c r="AT149" i="36"/>
  <c r="R206" i="36"/>
  <c r="V205" i="36"/>
  <c r="AT203" i="35"/>
  <c r="AE149" i="35"/>
  <c r="AT149" i="35"/>
  <c r="T186" i="35"/>
  <c r="S187" i="35"/>
  <c r="BG195" i="35"/>
  <c r="AE184" i="35"/>
  <c r="AT184" i="35"/>
  <c r="V185" i="35"/>
  <c r="R186" i="35"/>
  <c r="T205" i="35"/>
  <c r="S206" i="35"/>
  <c r="R151" i="35"/>
  <c r="V150" i="35"/>
  <c r="V204" i="35"/>
  <c r="R205" i="35"/>
  <c r="S152" i="35"/>
  <c r="T151" i="35"/>
  <c r="H24" i="20"/>
  <c r="H8" i="20"/>
  <c r="H7" i="20"/>
  <c r="AT205" i="36" l="1"/>
  <c r="T152" i="36"/>
  <c r="S153" i="36"/>
  <c r="AE184" i="36"/>
  <c r="AT184" i="36"/>
  <c r="T186" i="36"/>
  <c r="S187" i="36"/>
  <c r="AT150" i="36"/>
  <c r="AE150" i="36"/>
  <c r="R207" i="36"/>
  <c r="V206" i="36"/>
  <c r="V151" i="36"/>
  <c r="R152" i="36"/>
  <c r="BG185" i="36"/>
  <c r="T207" i="36"/>
  <c r="S208" i="36"/>
  <c r="V185" i="36"/>
  <c r="R186" i="36"/>
  <c r="AT185" i="35"/>
  <c r="AE185" i="35"/>
  <c r="T206" i="35"/>
  <c r="S207" i="35"/>
  <c r="V205" i="35"/>
  <c r="R206" i="35"/>
  <c r="BG196" i="35"/>
  <c r="R187" i="35"/>
  <c r="V186" i="35"/>
  <c r="T152" i="35"/>
  <c r="S153" i="35"/>
  <c r="S188" i="35"/>
  <c r="T187" i="35"/>
  <c r="AT204" i="35"/>
  <c r="R152" i="35"/>
  <c r="V151" i="35"/>
  <c r="AE150" i="35"/>
  <c r="AT150" i="35"/>
  <c r="H22" i="25"/>
  <c r="H8" i="25"/>
  <c r="H7" i="25"/>
  <c r="T208" i="36" l="1"/>
  <c r="S209" i="36"/>
  <c r="S188" i="36"/>
  <c r="T188" i="36" s="1"/>
  <c r="T187" i="36"/>
  <c r="R188" i="36" s="1"/>
  <c r="R153" i="36"/>
  <c r="V152" i="36"/>
  <c r="BG186" i="36"/>
  <c r="S154" i="36"/>
  <c r="T153" i="36"/>
  <c r="R208" i="36"/>
  <c r="V207" i="36"/>
  <c r="AT206" i="36"/>
  <c r="R187" i="36"/>
  <c r="V186" i="36"/>
  <c r="AT185" i="36"/>
  <c r="AE185" i="36"/>
  <c r="AT151" i="36"/>
  <c r="AE151" i="36"/>
  <c r="V187" i="35"/>
  <c r="R188" i="35"/>
  <c r="T153" i="35"/>
  <c r="S154" i="35"/>
  <c r="V206" i="35"/>
  <c r="R207" i="35"/>
  <c r="S189" i="35"/>
  <c r="T189" i="35" s="1"/>
  <c r="V189" i="35" s="1"/>
  <c r="T188" i="35"/>
  <c r="BG197" i="35"/>
  <c r="V152" i="35"/>
  <c r="R153" i="35"/>
  <c r="AT205" i="35"/>
  <c r="AT151" i="35"/>
  <c r="AE151" i="35"/>
  <c r="AE186" i="35"/>
  <c r="AT186" i="35"/>
  <c r="T207" i="35"/>
  <c r="S208" i="35"/>
  <c r="H22" i="26"/>
  <c r="H8" i="26"/>
  <c r="H7" i="26"/>
  <c r="AE186" i="36" l="1"/>
  <c r="AT186" i="36"/>
  <c r="AF186" i="36"/>
  <c r="AF179" i="36"/>
  <c r="AF178" i="36"/>
  <c r="AF177" i="36"/>
  <c r="AF180" i="36"/>
  <c r="AT207" i="36"/>
  <c r="AF183" i="36"/>
  <c r="R154" i="36"/>
  <c r="V153" i="36"/>
  <c r="AF181" i="36"/>
  <c r="S155" i="36"/>
  <c r="T154" i="36"/>
  <c r="R209" i="36"/>
  <c r="V208" i="36"/>
  <c r="AF182" i="36"/>
  <c r="AF185" i="36"/>
  <c r="BG187" i="36"/>
  <c r="AF184" i="36"/>
  <c r="AE152" i="36"/>
  <c r="AT152" i="36"/>
  <c r="T209" i="36"/>
  <c r="S210" i="36"/>
  <c r="R189" i="35"/>
  <c r="V188" i="35"/>
  <c r="AF181" i="35" s="1"/>
  <c r="S155" i="35"/>
  <c r="T154" i="35"/>
  <c r="AT152" i="35"/>
  <c r="AE152" i="35"/>
  <c r="BG198" i="35"/>
  <c r="AT189" i="35"/>
  <c r="AE189" i="35"/>
  <c r="AF189" i="35"/>
  <c r="R154" i="35"/>
  <c r="V153" i="35"/>
  <c r="T208" i="35"/>
  <c r="S209" i="35"/>
  <c r="V207" i="35"/>
  <c r="R208" i="35"/>
  <c r="AT206" i="35"/>
  <c r="AT187" i="35"/>
  <c r="AE187" i="35"/>
  <c r="H22" i="23"/>
  <c r="H8" i="23"/>
  <c r="H7" i="23"/>
  <c r="H22" i="3"/>
  <c r="H8" i="3"/>
  <c r="H7" i="3"/>
  <c r="AF182" i="35" l="1"/>
  <c r="R155" i="36"/>
  <c r="V154" i="36"/>
  <c r="AE153" i="36"/>
  <c r="AT153" i="36"/>
  <c r="T210" i="36"/>
  <c r="S211" i="36"/>
  <c r="BG188" i="36"/>
  <c r="T155" i="36"/>
  <c r="S156" i="36"/>
  <c r="AD184" i="36"/>
  <c r="AC184" i="36" s="1"/>
  <c r="AD181" i="36"/>
  <c r="AC181" i="36" s="1"/>
  <c r="AD186" i="36"/>
  <c r="AC186" i="36" s="1"/>
  <c r="AD182" i="36"/>
  <c r="AC182" i="36" s="1"/>
  <c r="AD188" i="36"/>
  <c r="AC188" i="36" s="1"/>
  <c r="AD183" i="36"/>
  <c r="AC183" i="36" s="1"/>
  <c r="AD187" i="36"/>
  <c r="AC187" i="36" s="1"/>
  <c r="AD180" i="36"/>
  <c r="AC180" i="36" s="1"/>
  <c r="AD177" i="36"/>
  <c r="AC177" i="36" s="1"/>
  <c r="AD178" i="36"/>
  <c r="AC178" i="36" s="1"/>
  <c r="AD179" i="36"/>
  <c r="AC179" i="36" s="1"/>
  <c r="AD185" i="36"/>
  <c r="AC185" i="36" s="1"/>
  <c r="V209" i="36"/>
  <c r="R210" i="36"/>
  <c r="AT208" i="36"/>
  <c r="AF180" i="35"/>
  <c r="AF184" i="35"/>
  <c r="AF178" i="35"/>
  <c r="T209" i="35"/>
  <c r="S210" i="35"/>
  <c r="BG199" i="35"/>
  <c r="R155" i="35"/>
  <c r="V154" i="35"/>
  <c r="V208" i="35"/>
  <c r="R209" i="35"/>
  <c r="S156" i="35"/>
  <c r="T155" i="35"/>
  <c r="AE153" i="35"/>
  <c r="AT153" i="35"/>
  <c r="AE188" i="35"/>
  <c r="AD189" i="35" s="1"/>
  <c r="AC189" i="35" s="1"/>
  <c r="AF188" i="35"/>
  <c r="AT188" i="35"/>
  <c r="AF186" i="35"/>
  <c r="AF185" i="35"/>
  <c r="AF183" i="35"/>
  <c r="AF187" i="35"/>
  <c r="AT207" i="35"/>
  <c r="AF179" i="35"/>
  <c r="V155" i="36" l="1"/>
  <c r="R156" i="36"/>
  <c r="BG189" i="36"/>
  <c r="R211" i="36"/>
  <c r="V210" i="36"/>
  <c r="T156" i="36"/>
  <c r="S157" i="36"/>
  <c r="AT209" i="36"/>
  <c r="AC176" i="36"/>
  <c r="AA177" i="36" s="1"/>
  <c r="T211" i="36"/>
  <c r="S212" i="36"/>
  <c r="AT154" i="36"/>
  <c r="AE154" i="36"/>
  <c r="AD184" i="35"/>
  <c r="AC184" i="35" s="1"/>
  <c r="AD182" i="35"/>
  <c r="AC182" i="35" s="1"/>
  <c r="AD178" i="35"/>
  <c r="AC178" i="35" s="1"/>
  <c r="AD186" i="35"/>
  <c r="AC186" i="35" s="1"/>
  <c r="V155" i="35"/>
  <c r="R156" i="35"/>
  <c r="AT208" i="35"/>
  <c r="S211" i="35"/>
  <c r="T210" i="35"/>
  <c r="T156" i="35"/>
  <c r="S157" i="35"/>
  <c r="AD181" i="35"/>
  <c r="AC181" i="35" s="1"/>
  <c r="AD188" i="35"/>
  <c r="AC188" i="35" s="1"/>
  <c r="AD187" i="35"/>
  <c r="AC187" i="35" s="1"/>
  <c r="V209" i="35"/>
  <c r="R210" i="35"/>
  <c r="AD185" i="35"/>
  <c r="AC185" i="35" s="1"/>
  <c r="AD180" i="35"/>
  <c r="AC180" i="35" s="1"/>
  <c r="BG200" i="35"/>
  <c r="AD183" i="35"/>
  <c r="AC183" i="35" s="1"/>
  <c r="AD179" i="35"/>
  <c r="AC179" i="35" s="1"/>
  <c r="AE154" i="35"/>
  <c r="AT154" i="35"/>
  <c r="S158" i="36" l="1"/>
  <c r="T157" i="36"/>
  <c r="R157" i="36"/>
  <c r="V156" i="36"/>
  <c r="T212" i="36"/>
  <c r="S213" i="36"/>
  <c r="AT210" i="36"/>
  <c r="BG190" i="36"/>
  <c r="R212" i="36"/>
  <c r="V211" i="36"/>
  <c r="AT155" i="36"/>
  <c r="AE155" i="36"/>
  <c r="AC177" i="35"/>
  <c r="AA178" i="35" s="1"/>
  <c r="AT155" i="35"/>
  <c r="AE155" i="35"/>
  <c r="V210" i="35"/>
  <c r="R211" i="35"/>
  <c r="BG201" i="35"/>
  <c r="S212" i="35"/>
  <c r="T211" i="35"/>
  <c r="AT209" i="35"/>
  <c r="T157" i="35"/>
  <c r="S158" i="35"/>
  <c r="R157" i="35"/>
  <c r="V156" i="35"/>
  <c r="H22" i="30"/>
  <c r="H8" i="30"/>
  <c r="H7" i="30"/>
  <c r="T158" i="35" l="1"/>
  <c r="V158" i="35" s="1"/>
  <c r="S159" i="35"/>
  <c r="T158" i="36"/>
  <c r="S159" i="36"/>
  <c r="T213" i="36"/>
  <c r="S214" i="36"/>
  <c r="R158" i="36"/>
  <c r="V157" i="36"/>
  <c r="AT211" i="36"/>
  <c r="AE156" i="36"/>
  <c r="AT156" i="36"/>
  <c r="BG191" i="36"/>
  <c r="R213" i="36"/>
  <c r="V212" i="36"/>
  <c r="R158" i="35"/>
  <c r="V157" i="35"/>
  <c r="BG202" i="35"/>
  <c r="R212" i="35"/>
  <c r="V211" i="35"/>
  <c r="AT210" i="35"/>
  <c r="AT156" i="35"/>
  <c r="AE156" i="35"/>
  <c r="S213" i="35"/>
  <c r="T212" i="35"/>
  <c r="C138" i="1"/>
  <c r="Z158" i="1" s="1"/>
  <c r="AE158" i="35" l="1"/>
  <c r="AT158" i="35"/>
  <c r="R159" i="35"/>
  <c r="S160" i="35"/>
  <c r="T159" i="35"/>
  <c r="S160" i="36"/>
  <c r="T159" i="36"/>
  <c r="V158" i="36"/>
  <c r="R159" i="36"/>
  <c r="AT212" i="36"/>
  <c r="BG195" i="36"/>
  <c r="R214" i="36"/>
  <c r="V213" i="36"/>
  <c r="AE157" i="36"/>
  <c r="AT157" i="36"/>
  <c r="T214" i="36"/>
  <c r="S215" i="36"/>
  <c r="R213" i="35"/>
  <c r="V212" i="35"/>
  <c r="AT211" i="35"/>
  <c r="AE157" i="35"/>
  <c r="AT157" i="35"/>
  <c r="S214" i="35"/>
  <c r="T213" i="35"/>
  <c r="BG203" i="35"/>
  <c r="Z163" i="1"/>
  <c r="Z159" i="1"/>
  <c r="P161" i="1"/>
  <c r="Q161" i="1" s="1"/>
  <c r="R161" i="1" s="1"/>
  <c r="P163" i="1"/>
  <c r="Q163" i="1" s="1"/>
  <c r="R163" i="1" s="1"/>
  <c r="P159" i="1"/>
  <c r="Q159" i="1" s="1"/>
  <c r="R159" i="1" s="1"/>
  <c r="Z162" i="1"/>
  <c r="P160" i="1"/>
  <c r="Q160" i="1" s="1"/>
  <c r="R160" i="1" s="1"/>
  <c r="Z161" i="1"/>
  <c r="Z160" i="1"/>
  <c r="P162" i="1"/>
  <c r="Q162" i="1" s="1"/>
  <c r="R162" i="1" s="1"/>
  <c r="P158" i="1"/>
  <c r="Q158" i="1" s="1"/>
  <c r="R158" i="1" s="1"/>
  <c r="H22" i="1"/>
  <c r="H8" i="1"/>
  <c r="H7" i="1"/>
  <c r="T135" i="36" l="1"/>
  <c r="S161" i="35"/>
  <c r="T160" i="35"/>
  <c r="V159" i="35"/>
  <c r="R160" i="35"/>
  <c r="AT158" i="36"/>
  <c r="AE158" i="36"/>
  <c r="R160" i="36"/>
  <c r="V159" i="36"/>
  <c r="AF140" i="36"/>
  <c r="S161" i="36"/>
  <c r="T160" i="36"/>
  <c r="BG196" i="36"/>
  <c r="R215" i="36"/>
  <c r="V214" i="36"/>
  <c r="T215" i="36"/>
  <c r="S216" i="36"/>
  <c r="AT213" i="36"/>
  <c r="S215" i="35"/>
  <c r="T214" i="35"/>
  <c r="BG204" i="35"/>
  <c r="AT212" i="35"/>
  <c r="R214" i="35"/>
  <c r="V213" i="35"/>
  <c r="AA158" i="1"/>
  <c r="AB158" i="1" s="1"/>
  <c r="AC158" i="1" s="1"/>
  <c r="AD158" i="1"/>
  <c r="AE158" i="1" s="1"/>
  <c r="AF158" i="1" s="1"/>
  <c r="AD160" i="1"/>
  <c r="AE160" i="1" s="1"/>
  <c r="AF160" i="1" s="1"/>
  <c r="AA160" i="1"/>
  <c r="AB160" i="1" s="1"/>
  <c r="AC160" i="1" s="1"/>
  <c r="AA162" i="1"/>
  <c r="AB162" i="1" s="1"/>
  <c r="AC162" i="1" s="1"/>
  <c r="AD162" i="1"/>
  <c r="AE162" i="1" s="1"/>
  <c r="AF162" i="1" s="1"/>
  <c r="AA159" i="1"/>
  <c r="AB159" i="1" s="1"/>
  <c r="AC159" i="1" s="1"/>
  <c r="AD159" i="1"/>
  <c r="AE159" i="1" s="1"/>
  <c r="AF159" i="1" s="1"/>
  <c r="AD161" i="1"/>
  <c r="AE161" i="1" s="1"/>
  <c r="AF161" i="1" s="1"/>
  <c r="AA161" i="1"/>
  <c r="AB161" i="1" s="1"/>
  <c r="AC161" i="1" s="1"/>
  <c r="AA163" i="1"/>
  <c r="AB163" i="1" s="1"/>
  <c r="AC163" i="1" s="1"/>
  <c r="AD163" i="1"/>
  <c r="AE163" i="1" s="1"/>
  <c r="AF163" i="1" s="1"/>
  <c r="AE159" i="35" l="1"/>
  <c r="AT159" i="35"/>
  <c r="V160" i="35"/>
  <c r="R161" i="35"/>
  <c r="S162" i="35"/>
  <c r="T161" i="35"/>
  <c r="R161" i="36"/>
  <c r="V160" i="36"/>
  <c r="S162" i="36"/>
  <c r="T161" i="36"/>
  <c r="AT159" i="36"/>
  <c r="AE159" i="36"/>
  <c r="R216" i="36"/>
  <c r="V215" i="36"/>
  <c r="S217" i="36"/>
  <c r="T216" i="36"/>
  <c r="BG197" i="36"/>
  <c r="AT214" i="36"/>
  <c r="R215" i="35"/>
  <c r="V214" i="35"/>
  <c r="AT213" i="35"/>
  <c r="BG205" i="35"/>
  <c r="S216" i="35"/>
  <c r="T215" i="35"/>
  <c r="AH162" i="1"/>
  <c r="AH163" i="1"/>
  <c r="AH159" i="1"/>
  <c r="AH158" i="1"/>
  <c r="AH160" i="1"/>
  <c r="AH161" i="1"/>
  <c r="R162" i="35" l="1"/>
  <c r="V161" i="35"/>
  <c r="S163" i="35"/>
  <c r="T162" i="35"/>
  <c r="AT160" i="35"/>
  <c r="AE160" i="35"/>
  <c r="V161" i="36"/>
  <c r="R162" i="36"/>
  <c r="S163" i="36"/>
  <c r="T162" i="36"/>
  <c r="AT160" i="36"/>
  <c r="AE160" i="36"/>
  <c r="T217" i="36"/>
  <c r="S218" i="36"/>
  <c r="BG198" i="36"/>
  <c r="AT215" i="36"/>
  <c r="R217" i="36"/>
  <c r="V216" i="36"/>
  <c r="AT214" i="35"/>
  <c r="S217" i="35"/>
  <c r="T216" i="35"/>
  <c r="R216" i="35"/>
  <c r="V215" i="35"/>
  <c r="BG206" i="35"/>
  <c r="AL145" i="20"/>
  <c r="AM145" i="20" s="1"/>
  <c r="AN145" i="20" s="1"/>
  <c r="E2" i="20"/>
  <c r="AL146" i="25"/>
  <c r="AM146" i="25" s="1"/>
  <c r="AN146" i="25" s="1"/>
  <c r="E2" i="25"/>
  <c r="AL134" i="26"/>
  <c r="R163" i="35" l="1"/>
  <c r="V162" i="35"/>
  <c r="S164" i="35"/>
  <c r="T164" i="35" s="1"/>
  <c r="V164" i="35" s="1"/>
  <c r="T163" i="35"/>
  <c r="AT161" i="35"/>
  <c r="AE161" i="35"/>
  <c r="V162" i="36"/>
  <c r="R163" i="36"/>
  <c r="S164" i="36"/>
  <c r="T164" i="36" s="1"/>
  <c r="V164" i="36" s="1"/>
  <c r="T163" i="36"/>
  <c r="AE161" i="36"/>
  <c r="AT161" i="36"/>
  <c r="S219" i="36"/>
  <c r="T218" i="36"/>
  <c r="AT216" i="36"/>
  <c r="R218" i="36"/>
  <c r="V217" i="36"/>
  <c r="BG199" i="36"/>
  <c r="R217" i="35"/>
  <c r="V216" i="35"/>
  <c r="BG207" i="35"/>
  <c r="AT215" i="35"/>
  <c r="S218" i="35"/>
  <c r="T217" i="35"/>
  <c r="AM134" i="26"/>
  <c r="AN134" i="26" s="1"/>
  <c r="E2" i="26"/>
  <c r="AF164" i="35" l="1"/>
  <c r="AT164" i="35"/>
  <c r="AE164" i="35"/>
  <c r="AE162" i="35"/>
  <c r="AT162" i="35"/>
  <c r="V163" i="35"/>
  <c r="AF144" i="35" s="1"/>
  <c r="R164" i="35"/>
  <c r="AT164" i="36"/>
  <c r="AF164" i="36"/>
  <c r="AE164" i="36"/>
  <c r="R164" i="36"/>
  <c r="V163" i="36"/>
  <c r="AF139" i="36" s="1"/>
  <c r="AT162" i="36"/>
  <c r="AE162" i="36"/>
  <c r="S220" i="36"/>
  <c r="T219" i="36"/>
  <c r="AT217" i="36"/>
  <c r="BG200" i="36"/>
  <c r="V218" i="36"/>
  <c r="R219" i="36"/>
  <c r="R218" i="35"/>
  <c r="V217" i="35"/>
  <c r="S219" i="35"/>
  <c r="T218" i="35"/>
  <c r="AT216" i="35"/>
  <c r="BG208" i="35"/>
  <c r="AF146" i="36" l="1"/>
  <c r="AF158" i="36"/>
  <c r="AF142" i="36"/>
  <c r="AF154" i="36"/>
  <c r="AF148" i="36"/>
  <c r="AF162" i="36"/>
  <c r="AF153" i="36"/>
  <c r="AF150" i="36"/>
  <c r="AF143" i="36"/>
  <c r="AF141" i="36"/>
  <c r="AF156" i="36"/>
  <c r="AF151" i="36"/>
  <c r="AF149" i="36"/>
  <c r="AF144" i="36"/>
  <c r="AF163" i="36"/>
  <c r="AF157" i="36"/>
  <c r="AF161" i="36"/>
  <c r="AF160" i="36"/>
  <c r="AF155" i="36"/>
  <c r="AF152" i="36"/>
  <c r="AF147" i="36"/>
  <c r="AF145" i="36"/>
  <c r="AF159" i="36"/>
  <c r="AF155" i="35"/>
  <c r="AF146" i="35"/>
  <c r="AF162" i="35"/>
  <c r="AF161" i="35"/>
  <c r="AF150" i="35"/>
  <c r="AF141" i="35"/>
  <c r="AF158" i="35"/>
  <c r="AF151" i="35"/>
  <c r="AF148" i="35"/>
  <c r="AF163" i="35"/>
  <c r="AF160" i="35"/>
  <c r="AF156" i="35"/>
  <c r="AF157" i="35"/>
  <c r="AF149" i="35"/>
  <c r="AF142" i="35"/>
  <c r="AF153" i="35"/>
  <c r="AF145" i="35"/>
  <c r="AF154" i="35"/>
  <c r="AF152" i="35"/>
  <c r="AF147" i="35"/>
  <c r="AF143" i="35"/>
  <c r="AF159" i="35"/>
  <c r="AF140" i="35"/>
  <c r="AE163" i="35"/>
  <c r="AD142" i="35" s="1"/>
  <c r="AC142" i="35" s="1"/>
  <c r="AT163" i="35"/>
  <c r="T135" i="35"/>
  <c r="AF139" i="35"/>
  <c r="AT163" i="36"/>
  <c r="AE163" i="36"/>
  <c r="AD161" i="36" s="1"/>
  <c r="AC161" i="36" s="1"/>
  <c r="R220" i="36"/>
  <c r="V219" i="36"/>
  <c r="AT218" i="36"/>
  <c r="BG201" i="36"/>
  <c r="S221" i="36"/>
  <c r="T220" i="36"/>
  <c r="AT217" i="35"/>
  <c r="V218" i="35"/>
  <c r="R219" i="35"/>
  <c r="S220" i="35"/>
  <c r="T219" i="35"/>
  <c r="BG209" i="35"/>
  <c r="AD144" i="35" l="1"/>
  <c r="AC144" i="35" s="1"/>
  <c r="AD163" i="35"/>
  <c r="AC163" i="35" s="1"/>
  <c r="AD159" i="35"/>
  <c r="AC159" i="35" s="1"/>
  <c r="AD158" i="35"/>
  <c r="AC158" i="35" s="1"/>
  <c r="AD164" i="35"/>
  <c r="AC164" i="35" s="1"/>
  <c r="AD155" i="35"/>
  <c r="AC155" i="35" s="1"/>
  <c r="AD147" i="36"/>
  <c r="AC147" i="36" s="1"/>
  <c r="AD153" i="36"/>
  <c r="AC153" i="36" s="1"/>
  <c r="AD155" i="36"/>
  <c r="AC155" i="36" s="1"/>
  <c r="AD157" i="36"/>
  <c r="AC157" i="36" s="1"/>
  <c r="AD154" i="36"/>
  <c r="AC154" i="36" s="1"/>
  <c r="AD145" i="35"/>
  <c r="AC145" i="35" s="1"/>
  <c r="AD141" i="35"/>
  <c r="AC141" i="35" s="1"/>
  <c r="AD152" i="35"/>
  <c r="AC152" i="35" s="1"/>
  <c r="AD156" i="35"/>
  <c r="AC156" i="35" s="1"/>
  <c r="AD149" i="35"/>
  <c r="AC149" i="35" s="1"/>
  <c r="AD143" i="35"/>
  <c r="AC143" i="35" s="1"/>
  <c r="AD163" i="36"/>
  <c r="AC163" i="36" s="1"/>
  <c r="AD159" i="36"/>
  <c r="AC159" i="36" s="1"/>
  <c r="AD162" i="36"/>
  <c r="AC162" i="36" s="1"/>
  <c r="AD148" i="36"/>
  <c r="AC148" i="36" s="1"/>
  <c r="AD152" i="36"/>
  <c r="AC152" i="36" s="1"/>
  <c r="AD140" i="35"/>
  <c r="AC140" i="35" s="1"/>
  <c r="AD162" i="35"/>
  <c r="AC162" i="35" s="1"/>
  <c r="AD151" i="35"/>
  <c r="AC151" i="35" s="1"/>
  <c r="AD139" i="35"/>
  <c r="AC139" i="35" s="1"/>
  <c r="AD154" i="35"/>
  <c r="AC154" i="35" s="1"/>
  <c r="AD150" i="35"/>
  <c r="AC150" i="35" s="1"/>
  <c r="AD158" i="36"/>
  <c r="AC158" i="36" s="1"/>
  <c r="AD160" i="36"/>
  <c r="AC160" i="36" s="1"/>
  <c r="AD156" i="36"/>
  <c r="AC156" i="36" s="1"/>
  <c r="AD143" i="36"/>
  <c r="AC143" i="36" s="1"/>
  <c r="AD148" i="35"/>
  <c r="AC148" i="35" s="1"/>
  <c r="AD147" i="35"/>
  <c r="AC147" i="35" s="1"/>
  <c r="AD153" i="35"/>
  <c r="AC153" i="35" s="1"/>
  <c r="AD161" i="35"/>
  <c r="AC161" i="35" s="1"/>
  <c r="AD157" i="35"/>
  <c r="AC157" i="35" s="1"/>
  <c r="AD160" i="35"/>
  <c r="AC160" i="35" s="1"/>
  <c r="AD146" i="35"/>
  <c r="AC146" i="35" s="1"/>
  <c r="AD151" i="36"/>
  <c r="AC151" i="36" s="1"/>
  <c r="AD150" i="36"/>
  <c r="AC150" i="36" s="1"/>
  <c r="AD164" i="36"/>
  <c r="AC164" i="36" s="1"/>
  <c r="AD140" i="36"/>
  <c r="AC140" i="36" s="1"/>
  <c r="AD149" i="36"/>
  <c r="AC149" i="36" s="1"/>
  <c r="AD145" i="36"/>
  <c r="AC145" i="36" s="1"/>
  <c r="AD142" i="36"/>
  <c r="AC142" i="36" s="1"/>
  <c r="AD144" i="36"/>
  <c r="AC144" i="36" s="1"/>
  <c r="AD141" i="36"/>
  <c r="AC141" i="36" s="1"/>
  <c r="AD146" i="36"/>
  <c r="AC146" i="36" s="1"/>
  <c r="AD139" i="36"/>
  <c r="AC139" i="36" s="1"/>
  <c r="AT219" i="36"/>
  <c r="BG202" i="36"/>
  <c r="V220" i="36"/>
  <c r="R221" i="36"/>
  <c r="S222" i="36"/>
  <c r="T221" i="36"/>
  <c r="AT218" i="35"/>
  <c r="R220" i="35"/>
  <c r="V219" i="35"/>
  <c r="BG210" i="35"/>
  <c r="S221" i="35"/>
  <c r="T220" i="35"/>
  <c r="AL149" i="23"/>
  <c r="AM149" i="23" s="1"/>
  <c r="AN149" i="23" s="1"/>
  <c r="E2" i="23"/>
  <c r="AC138" i="35" l="1"/>
  <c r="AA139" i="35" s="1"/>
  <c r="AG178" i="35" s="1"/>
  <c r="AC138" i="36"/>
  <c r="AA139" i="36" s="1"/>
  <c r="AG177" i="36" s="1"/>
  <c r="R222" i="36"/>
  <c r="V221" i="36"/>
  <c r="AT220" i="36"/>
  <c r="T197" i="36"/>
  <c r="S223" i="36"/>
  <c r="T222" i="36"/>
  <c r="BG203" i="36"/>
  <c r="BG211" i="35"/>
  <c r="V220" i="35"/>
  <c r="R221" i="35"/>
  <c r="S222" i="35"/>
  <c r="T221" i="35"/>
  <c r="AT219" i="35"/>
  <c r="AL146" i="3"/>
  <c r="AM146" i="3" s="1"/>
  <c r="AN146" i="3" s="1"/>
  <c r="E2" i="3"/>
  <c r="T223" i="36" l="1"/>
  <c r="S224" i="36"/>
  <c r="BG204" i="36"/>
  <c r="V222" i="36"/>
  <c r="R223" i="36"/>
  <c r="AT221" i="36"/>
  <c r="AT220" i="35"/>
  <c r="V221" i="35"/>
  <c r="R222" i="35"/>
  <c r="S223" i="35"/>
  <c r="T222" i="35"/>
  <c r="BG212" i="35"/>
  <c r="BF49" i="30"/>
  <c r="AU163" i="30"/>
  <c r="AU164" i="30" s="1"/>
  <c r="AU165" i="30" s="1"/>
  <c r="AU166" i="30" s="1"/>
  <c r="AU167" i="30" s="1"/>
  <c r="AU168" i="30" s="1"/>
  <c r="AU169" i="30" s="1"/>
  <c r="AU170" i="30" s="1"/>
  <c r="AU171" i="30" s="1"/>
  <c r="AU172" i="30" s="1"/>
  <c r="AU173" i="30" s="1"/>
  <c r="AU174" i="30" s="1"/>
  <c r="AU175" i="30" s="1"/>
  <c r="AU176" i="30" s="1"/>
  <c r="AU177" i="30" s="1"/>
  <c r="AU178" i="30" s="1"/>
  <c r="AU179" i="30" s="1"/>
  <c r="AU180" i="30" s="1"/>
  <c r="AU181" i="30" s="1"/>
  <c r="AU182" i="30" s="1"/>
  <c r="AU183" i="30" s="1"/>
  <c r="AU184" i="30" s="1"/>
  <c r="AU185" i="30" s="1"/>
  <c r="AU186" i="30" s="1"/>
  <c r="AU187" i="30" s="1"/>
  <c r="AU188" i="30" s="1"/>
  <c r="AU189" i="30" s="1"/>
  <c r="AU190" i="30" s="1"/>
  <c r="AU191" i="30" s="1"/>
  <c r="AU192" i="30" s="1"/>
  <c r="AU193" i="30" s="1"/>
  <c r="AU194" i="30" s="1"/>
  <c r="AU195" i="30" s="1"/>
  <c r="AU196" i="30" s="1"/>
  <c r="AU197" i="30" s="1"/>
  <c r="AU198" i="30" s="1"/>
  <c r="AV162" i="30"/>
  <c r="J157" i="30"/>
  <c r="K157" i="30" s="1"/>
  <c r="L157" i="30" s="1"/>
  <c r="M157" i="30" s="1"/>
  <c r="N157" i="30" s="1"/>
  <c r="G157" i="30"/>
  <c r="J156" i="30"/>
  <c r="K156" i="30" s="1"/>
  <c r="L156" i="30" s="1"/>
  <c r="M156" i="30" s="1"/>
  <c r="N156" i="30" s="1"/>
  <c r="G156" i="30"/>
  <c r="J155" i="30"/>
  <c r="K155" i="30" s="1"/>
  <c r="L155" i="30" s="1"/>
  <c r="M155" i="30" s="1"/>
  <c r="N155" i="30" s="1"/>
  <c r="G155" i="30"/>
  <c r="J154" i="30"/>
  <c r="K154" i="30" s="1"/>
  <c r="L154" i="30" s="1"/>
  <c r="M154" i="30" s="1"/>
  <c r="N154" i="30" s="1"/>
  <c r="G154" i="30"/>
  <c r="J153" i="30"/>
  <c r="K153" i="30" s="1"/>
  <c r="L153" i="30" s="1"/>
  <c r="M153" i="30" s="1"/>
  <c r="N153" i="30" s="1"/>
  <c r="G153" i="30"/>
  <c r="J152" i="30"/>
  <c r="K152" i="30" s="1"/>
  <c r="L152" i="30" s="1"/>
  <c r="M152" i="30" s="1"/>
  <c r="N152" i="30" s="1"/>
  <c r="G152" i="30"/>
  <c r="J151" i="30"/>
  <c r="K151" i="30" s="1"/>
  <c r="L151" i="30" s="1"/>
  <c r="M151" i="30" s="1"/>
  <c r="N151" i="30" s="1"/>
  <c r="G151" i="30"/>
  <c r="J150" i="30"/>
  <c r="K150" i="30" s="1"/>
  <c r="L150" i="30" s="1"/>
  <c r="M150" i="30" s="1"/>
  <c r="N150" i="30" s="1"/>
  <c r="G150" i="30"/>
  <c r="J149" i="30"/>
  <c r="K149" i="30" s="1"/>
  <c r="L149" i="30" s="1"/>
  <c r="M149" i="30" s="1"/>
  <c r="N149" i="30" s="1"/>
  <c r="G149" i="30"/>
  <c r="J148" i="30"/>
  <c r="K148" i="30" s="1"/>
  <c r="L148" i="30" s="1"/>
  <c r="M148" i="30" s="1"/>
  <c r="N148" i="30" s="1"/>
  <c r="G148" i="30"/>
  <c r="J147" i="30"/>
  <c r="K147" i="30" s="1"/>
  <c r="L147" i="30" s="1"/>
  <c r="M147" i="30" s="1"/>
  <c r="N147" i="30" s="1"/>
  <c r="G147" i="30"/>
  <c r="J146" i="30"/>
  <c r="K146" i="30" s="1"/>
  <c r="L146" i="30" s="1"/>
  <c r="M146" i="30" s="1"/>
  <c r="N146" i="30" s="1"/>
  <c r="G146" i="30"/>
  <c r="J145" i="30"/>
  <c r="K145" i="30" s="1"/>
  <c r="L145" i="30" s="1"/>
  <c r="M145" i="30" s="1"/>
  <c r="N145" i="30" s="1"/>
  <c r="G145" i="30"/>
  <c r="J144" i="30"/>
  <c r="K144" i="30" s="1"/>
  <c r="L144" i="30" s="1"/>
  <c r="M144" i="30" s="1"/>
  <c r="N144" i="30" s="1"/>
  <c r="G144" i="30"/>
  <c r="J143" i="30"/>
  <c r="K143" i="30" s="1"/>
  <c r="L143" i="30" s="1"/>
  <c r="M143" i="30" s="1"/>
  <c r="N143" i="30" s="1"/>
  <c r="G143" i="30"/>
  <c r="J142" i="30"/>
  <c r="K142" i="30" s="1"/>
  <c r="L142" i="30" s="1"/>
  <c r="M142" i="30" s="1"/>
  <c r="N142" i="30" s="1"/>
  <c r="G142" i="30"/>
  <c r="J141" i="30"/>
  <c r="K141" i="30" s="1"/>
  <c r="L141" i="30" s="1"/>
  <c r="M141" i="30" s="1"/>
  <c r="N141" i="30" s="1"/>
  <c r="G141" i="30"/>
  <c r="J140" i="30"/>
  <c r="K140" i="30" s="1"/>
  <c r="L140" i="30" s="1"/>
  <c r="M140" i="30" s="1"/>
  <c r="N140" i="30" s="1"/>
  <c r="G140" i="30"/>
  <c r="J139" i="30"/>
  <c r="K139" i="30" s="1"/>
  <c r="L139" i="30" s="1"/>
  <c r="M139" i="30" s="1"/>
  <c r="N139" i="30" s="1"/>
  <c r="G139" i="30"/>
  <c r="G138" i="30"/>
  <c r="C138" i="30"/>
  <c r="R133" i="30"/>
  <c r="S133" i="30" s="1"/>
  <c r="T133" i="30" s="1"/>
  <c r="CC123" i="30"/>
  <c r="CC125" i="30" s="1"/>
  <c r="CA123" i="30"/>
  <c r="CA125" i="30" s="1"/>
  <c r="BU123" i="30"/>
  <c r="BU125" i="30" s="1"/>
  <c r="BS123" i="30"/>
  <c r="BS125" i="30" s="1"/>
  <c r="CF79" i="30"/>
  <c r="CD79" i="30"/>
  <c r="CB79" i="30"/>
  <c r="BZ79" i="30"/>
  <c r="BX79" i="30"/>
  <c r="BV79" i="30"/>
  <c r="BT79" i="30"/>
  <c r="BR79" i="30"/>
  <c r="B14" i="30"/>
  <c r="C14" i="30" s="1"/>
  <c r="D4" i="30"/>
  <c r="F2" i="30"/>
  <c r="E2" i="30"/>
  <c r="D2" i="30"/>
  <c r="J50" i="30" l="1"/>
  <c r="L26" i="30"/>
  <c r="J20" i="30"/>
  <c r="J38" i="30"/>
  <c r="J56" i="30"/>
  <c r="L32" i="30"/>
  <c r="L44" i="30"/>
  <c r="Y163" i="30"/>
  <c r="Y159" i="30"/>
  <c r="Y158" i="30"/>
  <c r="Y161" i="30"/>
  <c r="Y162" i="30"/>
  <c r="Y160" i="30"/>
  <c r="BG205" i="36"/>
  <c r="AT222" i="36"/>
  <c r="S225" i="36"/>
  <c r="T224" i="36"/>
  <c r="R224" i="36"/>
  <c r="V223" i="36"/>
  <c r="S224" i="35"/>
  <c r="T223" i="35"/>
  <c r="V222" i="35"/>
  <c r="R223" i="35"/>
  <c r="BG213" i="35"/>
  <c r="AT221" i="35"/>
  <c r="T198" i="35"/>
  <c r="Y152" i="30"/>
  <c r="O163" i="30"/>
  <c r="P163" i="30" s="1"/>
  <c r="Q163" i="30" s="1"/>
  <c r="O159" i="30"/>
  <c r="P159" i="30" s="1"/>
  <c r="Q159" i="30" s="1"/>
  <c r="O162" i="30"/>
  <c r="P162" i="30" s="1"/>
  <c r="Q162" i="30" s="1"/>
  <c r="O158" i="30"/>
  <c r="P158" i="30" s="1"/>
  <c r="Q158" i="30" s="1"/>
  <c r="O161" i="30"/>
  <c r="P161" i="30" s="1"/>
  <c r="Q161" i="30" s="1"/>
  <c r="O160" i="30"/>
  <c r="P160" i="30" s="1"/>
  <c r="Q160" i="30" s="1"/>
  <c r="BD80" i="30"/>
  <c r="L42" i="30"/>
  <c r="J48" i="30"/>
  <c r="L85" i="30"/>
  <c r="H11" i="30"/>
  <c r="H9" i="30"/>
  <c r="Y151" i="30"/>
  <c r="Y157" i="30"/>
  <c r="O157" i="30"/>
  <c r="P157" i="30" s="1"/>
  <c r="Q157" i="30" s="1"/>
  <c r="Y156" i="30"/>
  <c r="O156" i="30"/>
  <c r="P156" i="30" s="1"/>
  <c r="Q156" i="30" s="1"/>
  <c r="Y155" i="30"/>
  <c r="O155" i="30"/>
  <c r="P155" i="30" s="1"/>
  <c r="Q155" i="30" s="1"/>
  <c r="Y154" i="30"/>
  <c r="O154" i="30"/>
  <c r="P154" i="30" s="1"/>
  <c r="Q154" i="30" s="1"/>
  <c r="O151" i="30"/>
  <c r="P151" i="30" s="1"/>
  <c r="Q151" i="30" s="1"/>
  <c r="O150" i="30"/>
  <c r="P150" i="30" s="1"/>
  <c r="Q150" i="30" s="1"/>
  <c r="O149" i="30"/>
  <c r="P149" i="30" s="1"/>
  <c r="Q149" i="30" s="1"/>
  <c r="Y148" i="30"/>
  <c r="O148" i="30"/>
  <c r="P148" i="30" s="1"/>
  <c r="Q148" i="30" s="1"/>
  <c r="Y147" i="30"/>
  <c r="O147" i="30"/>
  <c r="P147" i="30" s="1"/>
  <c r="Q147" i="30" s="1"/>
  <c r="Y146" i="30"/>
  <c r="O146" i="30"/>
  <c r="P146" i="30" s="1"/>
  <c r="Q146" i="30" s="1"/>
  <c r="Y145" i="30"/>
  <c r="O145" i="30"/>
  <c r="P145" i="30" s="1"/>
  <c r="Q145" i="30" s="1"/>
  <c r="Y144" i="30"/>
  <c r="O144" i="30"/>
  <c r="P144" i="30" s="1"/>
  <c r="Q144" i="30" s="1"/>
  <c r="Y143" i="30"/>
  <c r="O143" i="30"/>
  <c r="P143" i="30" s="1"/>
  <c r="Q143" i="30" s="1"/>
  <c r="Y142" i="30"/>
  <c r="O142" i="30"/>
  <c r="P142" i="30" s="1"/>
  <c r="Q142" i="30" s="1"/>
  <c r="Y141" i="30"/>
  <c r="O141" i="30"/>
  <c r="P141" i="30" s="1"/>
  <c r="Q141" i="30" s="1"/>
  <c r="Y140" i="30"/>
  <c r="O140" i="30"/>
  <c r="P140" i="30" s="1"/>
  <c r="Q140" i="30" s="1"/>
  <c r="Y139" i="30"/>
  <c r="O139" i="30"/>
  <c r="P139" i="30" s="1"/>
  <c r="Q139" i="30" s="1"/>
  <c r="Y138" i="30"/>
  <c r="J138" i="30"/>
  <c r="K138" i="30" s="1"/>
  <c r="L138" i="30" s="1"/>
  <c r="M138" i="30" s="1"/>
  <c r="N138" i="30" s="1"/>
  <c r="Y153" i="30"/>
  <c r="O153" i="30"/>
  <c r="P153" i="30" s="1"/>
  <c r="Q153" i="30" s="1"/>
  <c r="O138" i="30"/>
  <c r="P138" i="30" s="1"/>
  <c r="Y149" i="30"/>
  <c r="Y150" i="30"/>
  <c r="O152" i="30"/>
  <c r="P152" i="30" s="1"/>
  <c r="Q152" i="30" s="1"/>
  <c r="AV163" i="30"/>
  <c r="V133" i="1"/>
  <c r="W133" i="1" s="1"/>
  <c r="X133" i="1" s="1"/>
  <c r="E2" i="1"/>
  <c r="Z161" i="30" l="1"/>
  <c r="AA161" i="30" s="1"/>
  <c r="AB161" i="30" s="1"/>
  <c r="AC161" i="30"/>
  <c r="AD161" i="30" s="1"/>
  <c r="AE161" i="30" s="1"/>
  <c r="AC158" i="30"/>
  <c r="AD158" i="30" s="1"/>
  <c r="AE158" i="30" s="1"/>
  <c r="Z158" i="30"/>
  <c r="AA158" i="30" s="1"/>
  <c r="AB158" i="30" s="1"/>
  <c r="Z160" i="30"/>
  <c r="AA160" i="30" s="1"/>
  <c r="AB160" i="30" s="1"/>
  <c r="AC160" i="30"/>
  <c r="AD160" i="30" s="1"/>
  <c r="AE160" i="30" s="1"/>
  <c r="AC159" i="30"/>
  <c r="AD159" i="30" s="1"/>
  <c r="AE159" i="30" s="1"/>
  <c r="Z159" i="30"/>
  <c r="AA159" i="30" s="1"/>
  <c r="AB159" i="30" s="1"/>
  <c r="AC138" i="30"/>
  <c r="AD138" i="30" s="1"/>
  <c r="AE138" i="30" s="1"/>
  <c r="Z138" i="30"/>
  <c r="AA138" i="30" s="1"/>
  <c r="AB138" i="30" s="1"/>
  <c r="AC162" i="30"/>
  <c r="AD162" i="30" s="1"/>
  <c r="AE162" i="30" s="1"/>
  <c r="Z162" i="30"/>
  <c r="AA162" i="30" s="1"/>
  <c r="AB162" i="30" s="1"/>
  <c r="AC163" i="30"/>
  <c r="AD163" i="30" s="1"/>
  <c r="AE163" i="30" s="1"/>
  <c r="Z163" i="30"/>
  <c r="AA163" i="30" s="1"/>
  <c r="AB163" i="30" s="1"/>
  <c r="V224" i="36"/>
  <c r="R225" i="36"/>
  <c r="AT223" i="36"/>
  <c r="T225" i="36"/>
  <c r="S226" i="36"/>
  <c r="T226" i="36" s="1"/>
  <c r="V226" i="36" s="1"/>
  <c r="BG206" i="36"/>
  <c r="AT222" i="35"/>
  <c r="V223" i="35"/>
  <c r="R224" i="35"/>
  <c r="BG214" i="35"/>
  <c r="S225" i="35"/>
  <c r="T224" i="35"/>
  <c r="Z153" i="30"/>
  <c r="AA153" i="30" s="1"/>
  <c r="AB153" i="30" s="1"/>
  <c r="AC153" i="30"/>
  <c r="AD153" i="30" s="1"/>
  <c r="AE153" i="30" s="1"/>
  <c r="Z149" i="30"/>
  <c r="AA149" i="30" s="1"/>
  <c r="AB149" i="30" s="1"/>
  <c r="AC149" i="30"/>
  <c r="AD149" i="30" s="1"/>
  <c r="AE149" i="30" s="1"/>
  <c r="AC155" i="30"/>
  <c r="AD155" i="30" s="1"/>
  <c r="AE155" i="30" s="1"/>
  <c r="Z155" i="30"/>
  <c r="AA155" i="30" s="1"/>
  <c r="AB155" i="30" s="1"/>
  <c r="Z157" i="30"/>
  <c r="AA157" i="30" s="1"/>
  <c r="AB157" i="30" s="1"/>
  <c r="AC157" i="30"/>
  <c r="AD157" i="30" s="1"/>
  <c r="AE157" i="30" s="1"/>
  <c r="AC139" i="30"/>
  <c r="AD139" i="30" s="1"/>
  <c r="AE139" i="30" s="1"/>
  <c r="Z139" i="30"/>
  <c r="AA139" i="30" s="1"/>
  <c r="AB139" i="30" s="1"/>
  <c r="AC140" i="30"/>
  <c r="AD140" i="30" s="1"/>
  <c r="AE140" i="30" s="1"/>
  <c r="Z140" i="30"/>
  <c r="AA140" i="30" s="1"/>
  <c r="AB140" i="30" s="1"/>
  <c r="Z142" i="30"/>
  <c r="AA142" i="30" s="1"/>
  <c r="AB142" i="30" s="1"/>
  <c r="AC142" i="30"/>
  <c r="AD142" i="30" s="1"/>
  <c r="AE142" i="30" s="1"/>
  <c r="Z144" i="30"/>
  <c r="AA144" i="30" s="1"/>
  <c r="AB144" i="30" s="1"/>
  <c r="AC144" i="30"/>
  <c r="AD144" i="30" s="1"/>
  <c r="AE144" i="30" s="1"/>
  <c r="AC146" i="30"/>
  <c r="AD146" i="30" s="1"/>
  <c r="AE146" i="30" s="1"/>
  <c r="Z146" i="30"/>
  <c r="AA146" i="30" s="1"/>
  <c r="AB146" i="30" s="1"/>
  <c r="Z148" i="30"/>
  <c r="AA148" i="30" s="1"/>
  <c r="AB148" i="30" s="1"/>
  <c r="AC148" i="30"/>
  <c r="AD148" i="30" s="1"/>
  <c r="AE148" i="30" s="1"/>
  <c r="AC151" i="30"/>
  <c r="AD151" i="30" s="1"/>
  <c r="Z151" i="30"/>
  <c r="AA151" i="30" s="1"/>
  <c r="AB151" i="30" s="1"/>
  <c r="Z150" i="30"/>
  <c r="AA150" i="30" s="1"/>
  <c r="AB150" i="30" s="1"/>
  <c r="AC150" i="30"/>
  <c r="AD150" i="30" s="1"/>
  <c r="AE150" i="30" s="1"/>
  <c r="Z141" i="30"/>
  <c r="AA141" i="30" s="1"/>
  <c r="AB141" i="30" s="1"/>
  <c r="AC141" i="30"/>
  <c r="AD141" i="30" s="1"/>
  <c r="AE141" i="30" s="1"/>
  <c r="AC143" i="30"/>
  <c r="AD143" i="30" s="1"/>
  <c r="AE143" i="30" s="1"/>
  <c r="Z143" i="30"/>
  <c r="AA143" i="30" s="1"/>
  <c r="AB143" i="30" s="1"/>
  <c r="Z145" i="30"/>
  <c r="AA145" i="30" s="1"/>
  <c r="AB145" i="30" s="1"/>
  <c r="AC145" i="30"/>
  <c r="AD145" i="30" s="1"/>
  <c r="AE145" i="30" s="1"/>
  <c r="AC147" i="30"/>
  <c r="AD147" i="30" s="1"/>
  <c r="AE147" i="30" s="1"/>
  <c r="Z147" i="30"/>
  <c r="AA147" i="30" s="1"/>
  <c r="AB147" i="30" s="1"/>
  <c r="Z154" i="30"/>
  <c r="AA154" i="30" s="1"/>
  <c r="AB154" i="30" s="1"/>
  <c r="AC154" i="30"/>
  <c r="AD154" i="30" s="1"/>
  <c r="AE154" i="30" s="1"/>
  <c r="Z156" i="30"/>
  <c r="AA156" i="30" s="1"/>
  <c r="AB156" i="30" s="1"/>
  <c r="AC156" i="30"/>
  <c r="AD156" i="30" s="1"/>
  <c r="AE156" i="30" s="1"/>
  <c r="AC152" i="30"/>
  <c r="AD152" i="30" s="1"/>
  <c r="AE152" i="30" s="1"/>
  <c r="Z152" i="30"/>
  <c r="AA152" i="30" s="1"/>
  <c r="AB152" i="30" s="1"/>
  <c r="J49" i="30"/>
  <c r="L43" i="30"/>
  <c r="Q138" i="30"/>
  <c r="S138" i="30" s="1"/>
  <c r="T138" i="30" s="1"/>
  <c r="R139" i="30" s="1"/>
  <c r="S139" i="30" s="1"/>
  <c r="AV164" i="30"/>
  <c r="AG161" i="30" l="1"/>
  <c r="AG163" i="30"/>
  <c r="AG160" i="30"/>
  <c r="AG152" i="30"/>
  <c r="AG162" i="30"/>
  <c r="AG159" i="30"/>
  <c r="AG158" i="30"/>
  <c r="AT226" i="36"/>
  <c r="AF226" i="36"/>
  <c r="R226" i="36"/>
  <c r="V225" i="36"/>
  <c r="BG207" i="36"/>
  <c r="AT224" i="36"/>
  <c r="BG215" i="35"/>
  <c r="V224" i="35"/>
  <c r="R225" i="35"/>
  <c r="S226" i="35"/>
  <c r="T225" i="35"/>
  <c r="AT223" i="35"/>
  <c r="AE151" i="30"/>
  <c r="AG151" i="30" s="1"/>
  <c r="V138" i="30"/>
  <c r="AH138" i="30" s="1"/>
  <c r="AG140" i="30"/>
  <c r="AG142" i="30"/>
  <c r="AG141" i="30"/>
  <c r="AG143" i="30"/>
  <c r="AG147" i="30"/>
  <c r="AG149" i="30"/>
  <c r="AG145" i="30"/>
  <c r="AG139" i="30"/>
  <c r="AG150" i="30"/>
  <c r="AG148" i="30"/>
  <c r="AG144" i="30"/>
  <c r="AG154" i="30"/>
  <c r="AG157" i="30"/>
  <c r="AG153" i="30"/>
  <c r="AG146" i="30"/>
  <c r="AG138" i="30"/>
  <c r="AG156" i="30"/>
  <c r="AG155" i="30"/>
  <c r="AV165" i="30"/>
  <c r="S140" i="30"/>
  <c r="T139" i="30"/>
  <c r="AF225" i="36" l="1"/>
  <c r="AT225" i="36"/>
  <c r="AF223" i="36"/>
  <c r="AV223" i="36" s="1"/>
  <c r="AF219" i="36"/>
  <c r="AV219" i="36" s="1"/>
  <c r="AF201" i="36"/>
  <c r="AF222" i="36"/>
  <c r="AV222" i="36" s="1"/>
  <c r="AF217" i="36"/>
  <c r="AV217" i="36" s="1"/>
  <c r="AF212" i="36"/>
  <c r="AV212" i="36" s="1"/>
  <c r="AF209" i="36"/>
  <c r="AV209" i="36" s="1"/>
  <c r="AF205" i="36"/>
  <c r="AV205" i="36" s="1"/>
  <c r="AF202" i="36"/>
  <c r="AV202" i="36" s="1"/>
  <c r="AF221" i="36"/>
  <c r="AV221" i="36" s="1"/>
  <c r="AF214" i="36"/>
  <c r="AV214" i="36" s="1"/>
  <c r="AF204" i="36"/>
  <c r="AV204" i="36" s="1"/>
  <c r="AF218" i="36"/>
  <c r="AV218" i="36" s="1"/>
  <c r="BG208" i="36"/>
  <c r="AF215" i="36"/>
  <c r="AV215" i="36" s="1"/>
  <c r="AF213" i="36"/>
  <c r="AV213" i="36" s="1"/>
  <c r="AF208" i="36"/>
  <c r="AV208" i="36" s="1"/>
  <c r="AF206" i="36"/>
  <c r="AV206" i="36" s="1"/>
  <c r="AV226" i="36"/>
  <c r="AF211" i="36"/>
  <c r="AV211" i="36" s="1"/>
  <c r="AF220" i="36"/>
  <c r="AV220" i="36" s="1"/>
  <c r="AF224" i="36"/>
  <c r="AV224" i="36" s="1"/>
  <c r="AF216" i="36"/>
  <c r="AV216" i="36" s="1"/>
  <c r="AF210" i="36"/>
  <c r="AV210" i="36" s="1"/>
  <c r="AF207" i="36"/>
  <c r="AV207" i="36" s="1"/>
  <c r="AF203" i="36"/>
  <c r="AV203" i="36" s="1"/>
  <c r="AT224" i="35"/>
  <c r="V225" i="35"/>
  <c r="R226" i="35"/>
  <c r="S227" i="35"/>
  <c r="T227" i="35" s="1"/>
  <c r="V227" i="35" s="1"/>
  <c r="T226" i="35"/>
  <c r="BG216" i="35"/>
  <c r="R140" i="30"/>
  <c r="V139" i="30"/>
  <c r="S141" i="30"/>
  <c r="T140" i="30"/>
  <c r="AV166" i="30"/>
  <c r="AV225" i="36" l="1"/>
  <c r="AW225" i="36" s="1"/>
  <c r="AY225" i="36" s="1"/>
  <c r="BA225" i="36" s="1"/>
  <c r="AX207" i="36"/>
  <c r="AZ207" i="36" s="1"/>
  <c r="AW207" i="36"/>
  <c r="AY207" i="36" s="1"/>
  <c r="BA207" i="36" s="1"/>
  <c r="AX220" i="36"/>
  <c r="AZ220" i="36" s="1"/>
  <c r="AW220" i="36"/>
  <c r="AY220" i="36" s="1"/>
  <c r="BA220" i="36" s="1"/>
  <c r="AX221" i="36"/>
  <c r="AZ221" i="36" s="1"/>
  <c r="AW221" i="36"/>
  <c r="AY221" i="36" s="1"/>
  <c r="BA221" i="36" s="1"/>
  <c r="AX212" i="36"/>
  <c r="AZ212" i="36" s="1"/>
  <c r="AW212" i="36"/>
  <c r="AY212" i="36" s="1"/>
  <c r="BA212" i="36" s="1"/>
  <c r="AX219" i="36"/>
  <c r="AZ219" i="36" s="1"/>
  <c r="AW219" i="36"/>
  <c r="AY219" i="36" s="1"/>
  <c r="BA219" i="36" s="1"/>
  <c r="AX210" i="36"/>
  <c r="AZ210" i="36" s="1"/>
  <c r="AW210" i="36"/>
  <c r="AY210" i="36" s="1"/>
  <c r="BA210" i="36" s="1"/>
  <c r="AX211" i="36"/>
  <c r="AZ211" i="36" s="1"/>
  <c r="AW211" i="36"/>
  <c r="AY211" i="36" s="1"/>
  <c r="BA211" i="36" s="1"/>
  <c r="AX213" i="36"/>
  <c r="AZ213" i="36" s="1"/>
  <c r="AW213" i="36"/>
  <c r="AY213" i="36" s="1"/>
  <c r="BA213" i="36" s="1"/>
  <c r="AX218" i="36"/>
  <c r="AZ218" i="36" s="1"/>
  <c r="AW218" i="36"/>
  <c r="AY218" i="36" s="1"/>
  <c r="BA218" i="36" s="1"/>
  <c r="AX202" i="36"/>
  <c r="AZ202" i="36" s="1"/>
  <c r="AW202" i="36"/>
  <c r="AY202" i="36" s="1"/>
  <c r="BA202" i="36" s="1"/>
  <c r="AX217" i="36"/>
  <c r="AZ217" i="36" s="1"/>
  <c r="AW217" i="36"/>
  <c r="AY217" i="36" s="1"/>
  <c r="BA217" i="36" s="1"/>
  <c r="AX223" i="36"/>
  <c r="AZ223" i="36" s="1"/>
  <c r="AW223" i="36"/>
  <c r="AY223" i="36" s="1"/>
  <c r="BA223" i="36" s="1"/>
  <c r="AX216" i="36"/>
  <c r="AZ216" i="36" s="1"/>
  <c r="AW216" i="36"/>
  <c r="AY216" i="36" s="1"/>
  <c r="BA216" i="36" s="1"/>
  <c r="AX226" i="36"/>
  <c r="AZ226" i="36" s="1"/>
  <c r="AW226" i="36"/>
  <c r="AY226" i="36" s="1"/>
  <c r="BA226" i="36" s="1"/>
  <c r="AX215" i="36"/>
  <c r="AZ215" i="36" s="1"/>
  <c r="AW215" i="36"/>
  <c r="AY215" i="36" s="1"/>
  <c r="BA215" i="36" s="1"/>
  <c r="AX204" i="36"/>
  <c r="AZ204" i="36" s="1"/>
  <c r="AW204" i="36"/>
  <c r="AY204" i="36" s="1"/>
  <c r="BA204" i="36" s="1"/>
  <c r="AX205" i="36"/>
  <c r="AZ205" i="36" s="1"/>
  <c r="AW205" i="36"/>
  <c r="AY205" i="36" s="1"/>
  <c r="BA205" i="36" s="1"/>
  <c r="AX222" i="36"/>
  <c r="AZ222" i="36" s="1"/>
  <c r="AW222" i="36"/>
  <c r="AY222" i="36" s="1"/>
  <c r="BA222" i="36" s="1"/>
  <c r="AX208" i="36"/>
  <c r="AZ208" i="36" s="1"/>
  <c r="AW208" i="36"/>
  <c r="AY208" i="36" s="1"/>
  <c r="BA208" i="36" s="1"/>
  <c r="AX203" i="36"/>
  <c r="AZ203" i="36" s="1"/>
  <c r="AW203" i="36"/>
  <c r="AY203" i="36" s="1"/>
  <c r="BA203" i="36" s="1"/>
  <c r="AX224" i="36"/>
  <c r="AZ224" i="36" s="1"/>
  <c r="AW224" i="36"/>
  <c r="AY224" i="36" s="1"/>
  <c r="BA224" i="36" s="1"/>
  <c r="AX206" i="36"/>
  <c r="AZ206" i="36" s="1"/>
  <c r="AW206" i="36"/>
  <c r="AY206" i="36" s="1"/>
  <c r="BA206" i="36" s="1"/>
  <c r="BG209" i="36"/>
  <c r="AX214" i="36"/>
  <c r="AZ214" i="36" s="1"/>
  <c r="AW214" i="36"/>
  <c r="AY214" i="36" s="1"/>
  <c r="BA214" i="36" s="1"/>
  <c r="AX209" i="36"/>
  <c r="AZ209" i="36" s="1"/>
  <c r="AW209" i="36"/>
  <c r="AY209" i="36" s="1"/>
  <c r="BA209" i="36" s="1"/>
  <c r="AV201" i="36"/>
  <c r="AG201" i="36"/>
  <c r="AP188" i="36"/>
  <c r="AU188" i="36" s="1"/>
  <c r="AP187" i="36"/>
  <c r="AU187" i="36" s="1"/>
  <c r="AP180" i="36"/>
  <c r="AU180" i="36" s="1"/>
  <c r="AP182" i="36"/>
  <c r="AU182" i="36" s="1"/>
  <c r="AP178" i="36"/>
  <c r="AU178" i="36" s="1"/>
  <c r="AP184" i="36"/>
  <c r="AU184" i="36" s="1"/>
  <c r="AP177" i="36"/>
  <c r="AP186" i="36"/>
  <c r="AU186" i="36" s="1"/>
  <c r="AP179" i="36"/>
  <c r="AU179" i="36" s="1"/>
  <c r="AP185" i="36"/>
  <c r="AU185" i="36" s="1"/>
  <c r="AP183" i="36"/>
  <c r="AU183" i="36" s="1"/>
  <c r="AP181" i="36"/>
  <c r="AU181" i="36" s="1"/>
  <c r="BG217" i="35"/>
  <c r="V226" i="35"/>
  <c r="AF220" i="35" s="1"/>
  <c r="AV220" i="35" s="1"/>
  <c r="R227" i="35"/>
  <c r="AT225" i="35"/>
  <c r="AT227" i="35"/>
  <c r="AF227" i="35"/>
  <c r="R141" i="30"/>
  <c r="V140" i="30"/>
  <c r="AH139" i="30"/>
  <c r="S142" i="30"/>
  <c r="T141" i="30"/>
  <c r="AV167" i="30"/>
  <c r="AX225" i="36" l="1"/>
  <c r="AZ225" i="36" s="1"/>
  <c r="AF202" i="35"/>
  <c r="AP189" i="35" s="1"/>
  <c r="AU189" i="35" s="1"/>
  <c r="AF205" i="35"/>
  <c r="AV205" i="35" s="1"/>
  <c r="AX205" i="35" s="1"/>
  <c r="AZ205" i="35" s="1"/>
  <c r="AP159" i="36"/>
  <c r="AU159" i="36" s="1"/>
  <c r="AP162" i="36"/>
  <c r="AU162" i="36" s="1"/>
  <c r="AP161" i="36"/>
  <c r="AU161" i="36" s="1"/>
  <c r="AP160" i="36"/>
  <c r="AU160" i="36" s="1"/>
  <c r="AP163" i="36"/>
  <c r="AU163" i="36" s="1"/>
  <c r="AP164" i="36"/>
  <c r="AU164" i="36" s="1"/>
  <c r="AX181" i="36"/>
  <c r="AZ181" i="36" s="1"/>
  <c r="BB181" i="36" s="1"/>
  <c r="AW181" i="36"/>
  <c r="AY181" i="36" s="1"/>
  <c r="BA181" i="36" s="1"/>
  <c r="AX186" i="36"/>
  <c r="AZ186" i="36" s="1"/>
  <c r="BB186" i="36" s="1"/>
  <c r="AW186" i="36"/>
  <c r="AY186" i="36" s="1"/>
  <c r="BA186" i="36" s="1"/>
  <c r="AX182" i="36"/>
  <c r="AZ182" i="36" s="1"/>
  <c r="BB182" i="36" s="1"/>
  <c r="AW182" i="36"/>
  <c r="AY182" i="36" s="1"/>
  <c r="BA182" i="36" s="1"/>
  <c r="AP154" i="36"/>
  <c r="AU154" i="36" s="1"/>
  <c r="AP158" i="36"/>
  <c r="AU158" i="36" s="1"/>
  <c r="AP140" i="36"/>
  <c r="AU140" i="36" s="1"/>
  <c r="AP152" i="36"/>
  <c r="AU152" i="36" s="1"/>
  <c r="AP148" i="36"/>
  <c r="AU148" i="36" s="1"/>
  <c r="AP146" i="36"/>
  <c r="AU146" i="36" s="1"/>
  <c r="AP151" i="36"/>
  <c r="AU151" i="36" s="1"/>
  <c r="AP145" i="36"/>
  <c r="AU145" i="36" s="1"/>
  <c r="AP143" i="36"/>
  <c r="AU143" i="36" s="1"/>
  <c r="AP144" i="36"/>
  <c r="AU144" i="36" s="1"/>
  <c r="AP153" i="36"/>
  <c r="AU153" i="36" s="1"/>
  <c r="AP149" i="36"/>
  <c r="AU149" i="36" s="1"/>
  <c r="AP150" i="36"/>
  <c r="AU150" i="36" s="1"/>
  <c r="AP157" i="36"/>
  <c r="AU157" i="36" s="1"/>
  <c r="AP141" i="36"/>
  <c r="AU141" i="36" s="1"/>
  <c r="AP139" i="36"/>
  <c r="AP135" i="36" s="1"/>
  <c r="AP147" i="36"/>
  <c r="AU147" i="36" s="1"/>
  <c r="AP156" i="36"/>
  <c r="AU156" i="36" s="1"/>
  <c r="AP155" i="36"/>
  <c r="AU155" i="36" s="1"/>
  <c r="AP142" i="36"/>
  <c r="AU142" i="36" s="1"/>
  <c r="AX183" i="36"/>
  <c r="AZ183" i="36" s="1"/>
  <c r="BB183" i="36" s="1"/>
  <c r="AW183" i="36"/>
  <c r="AY183" i="36" s="1"/>
  <c r="BA183" i="36" s="1"/>
  <c r="AU177" i="36"/>
  <c r="AT195" i="36"/>
  <c r="AX180" i="36"/>
  <c r="AZ180" i="36" s="1"/>
  <c r="BB180" i="36" s="1"/>
  <c r="AW180" i="36"/>
  <c r="AY180" i="36" s="1"/>
  <c r="BA180" i="36" s="1"/>
  <c r="AX201" i="36"/>
  <c r="AZ201" i="36" s="1"/>
  <c r="AW201" i="36"/>
  <c r="AY201" i="36" s="1"/>
  <c r="BA201" i="36" s="1"/>
  <c r="BB214" i="36"/>
  <c r="AB214" i="36"/>
  <c r="BC214" i="36"/>
  <c r="G214" i="36" s="1"/>
  <c r="F214" i="36" s="1"/>
  <c r="BB206" i="36"/>
  <c r="BC206" i="36"/>
  <c r="G206" i="36" s="1"/>
  <c r="F206" i="36" s="1"/>
  <c r="AB206" i="36"/>
  <c r="BC203" i="36"/>
  <c r="G203" i="36" s="1"/>
  <c r="F203" i="36" s="1"/>
  <c r="BB203" i="36"/>
  <c r="AB203" i="36"/>
  <c r="BC222" i="36"/>
  <c r="G222" i="36" s="1"/>
  <c r="F222" i="36" s="1"/>
  <c r="BB222" i="36"/>
  <c r="AB222" i="36"/>
  <c r="AB204" i="36"/>
  <c r="BC204" i="36"/>
  <c r="G204" i="36" s="1"/>
  <c r="F204" i="36" s="1"/>
  <c r="BB204" i="36"/>
  <c r="BC226" i="36"/>
  <c r="G226" i="36" s="1"/>
  <c r="F226" i="36" s="1"/>
  <c r="BB226" i="36"/>
  <c r="AB226" i="36"/>
  <c r="AB223" i="36"/>
  <c r="BC223" i="36"/>
  <c r="G223" i="36" s="1"/>
  <c r="F223" i="36" s="1"/>
  <c r="BB223" i="36"/>
  <c r="BB202" i="36"/>
  <c r="AB202" i="36"/>
  <c r="BC202" i="36"/>
  <c r="G202" i="36" s="1"/>
  <c r="F202" i="36" s="1"/>
  <c r="AB213" i="36"/>
  <c r="BC213" i="36"/>
  <c r="G213" i="36" s="1"/>
  <c r="F213" i="36" s="1"/>
  <c r="BB213" i="36"/>
  <c r="BB210" i="36"/>
  <c r="AB210" i="36"/>
  <c r="BC210" i="36"/>
  <c r="G210" i="36" s="1"/>
  <c r="F210" i="36" s="1"/>
  <c r="BB212" i="36"/>
  <c r="AB212" i="36"/>
  <c r="BC212" i="36"/>
  <c r="G212" i="36" s="1"/>
  <c r="F212" i="36" s="1"/>
  <c r="BC220" i="36"/>
  <c r="G220" i="36" s="1"/>
  <c r="F220" i="36" s="1"/>
  <c r="BB220" i="36"/>
  <c r="AB220" i="36"/>
  <c r="AX185" i="36"/>
  <c r="AZ185" i="36" s="1"/>
  <c r="BB185" i="36" s="1"/>
  <c r="AW185" i="36"/>
  <c r="AY185" i="36" s="1"/>
  <c r="BA185" i="36" s="1"/>
  <c r="AX187" i="36"/>
  <c r="AZ187" i="36" s="1"/>
  <c r="BB187" i="36" s="1"/>
  <c r="AW187" i="36"/>
  <c r="AY187" i="36" s="1"/>
  <c r="BA187" i="36" s="1"/>
  <c r="AX184" i="36"/>
  <c r="AZ184" i="36" s="1"/>
  <c r="BB184" i="36" s="1"/>
  <c r="AW184" i="36"/>
  <c r="AY184" i="36" s="1"/>
  <c r="BA184" i="36" s="1"/>
  <c r="AB225" i="36"/>
  <c r="BC225" i="36"/>
  <c r="G225" i="36" s="1"/>
  <c r="F225" i="36" s="1"/>
  <c r="BB225" i="36"/>
  <c r="AX179" i="36"/>
  <c r="AZ179" i="36" s="1"/>
  <c r="BB179" i="36" s="1"/>
  <c r="AW179" i="36"/>
  <c r="AY179" i="36" s="1"/>
  <c r="BA179" i="36" s="1"/>
  <c r="AX178" i="36"/>
  <c r="AZ178" i="36" s="1"/>
  <c r="BB178" i="36" s="1"/>
  <c r="AW178" i="36"/>
  <c r="AY178" i="36" s="1"/>
  <c r="BA178" i="36" s="1"/>
  <c r="AX188" i="36"/>
  <c r="AZ188" i="36" s="1"/>
  <c r="BB188" i="36" s="1"/>
  <c r="AW188" i="36"/>
  <c r="AY188" i="36" s="1"/>
  <c r="BA188" i="36" s="1"/>
  <c r="BB209" i="36"/>
  <c r="BC209" i="36"/>
  <c r="G209" i="36" s="1"/>
  <c r="F209" i="36" s="1"/>
  <c r="AB209" i="36"/>
  <c r="BC224" i="36"/>
  <c r="G224" i="36" s="1"/>
  <c r="F224" i="36" s="1"/>
  <c r="BB224" i="36"/>
  <c r="AB224" i="36"/>
  <c r="BB208" i="36"/>
  <c r="BC208" i="36"/>
  <c r="G208" i="36" s="1"/>
  <c r="F208" i="36" s="1"/>
  <c r="AB208" i="36"/>
  <c r="AB205" i="36"/>
  <c r="BB205" i="36"/>
  <c r="BC205" i="36"/>
  <c r="G205" i="36" s="1"/>
  <c r="F205" i="36" s="1"/>
  <c r="AB215" i="36"/>
  <c r="BC215" i="36"/>
  <c r="G215" i="36" s="1"/>
  <c r="F215" i="36" s="1"/>
  <c r="BB215" i="36"/>
  <c r="BC216" i="36"/>
  <c r="G216" i="36" s="1"/>
  <c r="F216" i="36" s="1"/>
  <c r="BB216" i="36"/>
  <c r="AB216" i="36"/>
  <c r="AB217" i="36"/>
  <c r="BC217" i="36"/>
  <c r="G217" i="36" s="1"/>
  <c r="F217" i="36" s="1"/>
  <c r="BB217" i="36"/>
  <c r="BC218" i="36"/>
  <c r="G218" i="36" s="1"/>
  <c r="F218" i="36" s="1"/>
  <c r="BB218" i="36"/>
  <c r="AB218" i="36"/>
  <c r="AB211" i="36"/>
  <c r="BC211" i="36"/>
  <c r="G211" i="36" s="1"/>
  <c r="F211" i="36" s="1"/>
  <c r="BB211" i="36"/>
  <c r="AB219" i="36"/>
  <c r="BB219" i="36"/>
  <c r="BC219" i="36"/>
  <c r="G219" i="36" s="1"/>
  <c r="F219" i="36" s="1"/>
  <c r="AB221" i="36"/>
  <c r="BB221" i="36"/>
  <c r="BC221" i="36"/>
  <c r="G221" i="36" s="1"/>
  <c r="F221" i="36" s="1"/>
  <c r="BB207" i="36"/>
  <c r="AB207" i="36"/>
  <c r="BC207" i="36"/>
  <c r="G207" i="36" s="1"/>
  <c r="F207" i="36" s="1"/>
  <c r="AF218" i="35"/>
  <c r="AV218" i="35" s="1"/>
  <c r="AW218" i="35" s="1"/>
  <c r="AY218" i="35" s="1"/>
  <c r="BA218" i="35" s="1"/>
  <c r="AF215" i="35"/>
  <c r="AV215" i="35" s="1"/>
  <c r="AX215" i="35" s="1"/>
  <c r="AZ215" i="35" s="1"/>
  <c r="AF211" i="35"/>
  <c r="AV211" i="35" s="1"/>
  <c r="AW211" i="35" s="1"/>
  <c r="AY211" i="35" s="1"/>
  <c r="BA211" i="35" s="1"/>
  <c r="AF210" i="35"/>
  <c r="AV210" i="35" s="1"/>
  <c r="AX210" i="35" s="1"/>
  <c r="AZ210" i="35" s="1"/>
  <c r="AF216" i="35"/>
  <c r="AV216" i="35" s="1"/>
  <c r="AW216" i="35" s="1"/>
  <c r="AY216" i="35" s="1"/>
  <c r="BA216" i="35" s="1"/>
  <c r="AF207" i="35"/>
  <c r="AV207" i="35" s="1"/>
  <c r="AW207" i="35" s="1"/>
  <c r="AY207" i="35" s="1"/>
  <c r="BA207" i="35" s="1"/>
  <c r="AF224" i="35"/>
  <c r="AV224" i="35" s="1"/>
  <c r="AX224" i="35" s="1"/>
  <c r="AZ224" i="35" s="1"/>
  <c r="AF213" i="35"/>
  <c r="AV213" i="35" s="1"/>
  <c r="AX213" i="35" s="1"/>
  <c r="AZ213" i="35" s="1"/>
  <c r="AF208" i="35"/>
  <c r="AV208" i="35" s="1"/>
  <c r="AX208" i="35" s="1"/>
  <c r="AZ208" i="35" s="1"/>
  <c r="AF223" i="35"/>
  <c r="AV223" i="35" s="1"/>
  <c r="AX223" i="35" s="1"/>
  <c r="AZ223" i="35" s="1"/>
  <c r="AX220" i="35"/>
  <c r="AZ220" i="35" s="1"/>
  <c r="AW220" i="35"/>
  <c r="AY220" i="35" s="1"/>
  <c r="BA220" i="35" s="1"/>
  <c r="AF212" i="35"/>
  <c r="AV212" i="35" s="1"/>
  <c r="AF206" i="35"/>
  <c r="AV206" i="35" s="1"/>
  <c r="AF203" i="35"/>
  <c r="AV203" i="35" s="1"/>
  <c r="AF222" i="35"/>
  <c r="AV222" i="35" s="1"/>
  <c r="AF226" i="35"/>
  <c r="AT226" i="35"/>
  <c r="AF221" i="35"/>
  <c r="AV221" i="35" s="1"/>
  <c r="AF217" i="35"/>
  <c r="AV217" i="35" s="1"/>
  <c r="AF214" i="35"/>
  <c r="AV214" i="35" s="1"/>
  <c r="AF209" i="35"/>
  <c r="AV209" i="35" s="1"/>
  <c r="AF204" i="35"/>
  <c r="AV204" i="35" s="1"/>
  <c r="AV227" i="35"/>
  <c r="AF225" i="35"/>
  <c r="AV225" i="35" s="1"/>
  <c r="AF219" i="35"/>
  <c r="AV219" i="35" s="1"/>
  <c r="AV168" i="30"/>
  <c r="S143" i="30"/>
  <c r="T142" i="30"/>
  <c r="AH140" i="30"/>
  <c r="R142" i="30"/>
  <c r="V141" i="30"/>
  <c r="AP186" i="35" l="1"/>
  <c r="AU186" i="35" s="1"/>
  <c r="AW186" i="35" s="1"/>
  <c r="AY186" i="35" s="1"/>
  <c r="BA186" i="35" s="1"/>
  <c r="AP184" i="35"/>
  <c r="AU184" i="35" s="1"/>
  <c r="AW184" i="35" s="1"/>
  <c r="AY184" i="35" s="1"/>
  <c r="BA184" i="35" s="1"/>
  <c r="AP179" i="35"/>
  <c r="AU179" i="35" s="1"/>
  <c r="AX179" i="35" s="1"/>
  <c r="AZ179" i="35" s="1"/>
  <c r="BB179" i="35" s="1"/>
  <c r="AV202" i="35"/>
  <c r="AX202" i="35" s="1"/>
  <c r="AZ202" i="35" s="1"/>
  <c r="BB202" i="35" s="1"/>
  <c r="AP183" i="35"/>
  <c r="AU183" i="35" s="1"/>
  <c r="AW183" i="35" s="1"/>
  <c r="AY183" i="35" s="1"/>
  <c r="BA183" i="35" s="1"/>
  <c r="AG202" i="35"/>
  <c r="AP159" i="35" s="1"/>
  <c r="AU159" i="35" s="1"/>
  <c r="AP178" i="35"/>
  <c r="AU178" i="35" s="1"/>
  <c r="AP182" i="35"/>
  <c r="AU182" i="35" s="1"/>
  <c r="AX182" i="35" s="1"/>
  <c r="AZ182" i="35" s="1"/>
  <c r="BB182" i="35" s="1"/>
  <c r="AP185" i="35"/>
  <c r="AU185" i="35" s="1"/>
  <c r="AX185" i="35" s="1"/>
  <c r="AZ185" i="35" s="1"/>
  <c r="BB185" i="35" s="1"/>
  <c r="AP181" i="35"/>
  <c r="AU181" i="35" s="1"/>
  <c r="AX181" i="35" s="1"/>
  <c r="AZ181" i="35" s="1"/>
  <c r="BB181" i="35" s="1"/>
  <c r="AP187" i="35"/>
  <c r="AU187" i="35" s="1"/>
  <c r="AX187" i="35" s="1"/>
  <c r="AZ187" i="35" s="1"/>
  <c r="BB187" i="35" s="1"/>
  <c r="AP180" i="35"/>
  <c r="AU180" i="35" s="1"/>
  <c r="AX180" i="35" s="1"/>
  <c r="AZ180" i="35" s="1"/>
  <c r="BB180" i="35" s="1"/>
  <c r="AP188" i="35"/>
  <c r="AU188" i="35" s="1"/>
  <c r="AX188" i="35" s="1"/>
  <c r="AZ188" i="35" s="1"/>
  <c r="BB188" i="35" s="1"/>
  <c r="AW205" i="35"/>
  <c r="AY205" i="35" s="1"/>
  <c r="BA205" i="35" s="1"/>
  <c r="AX218" i="35"/>
  <c r="AZ218" i="35" s="1"/>
  <c r="BC218" i="35" s="1"/>
  <c r="G218" i="35" s="1"/>
  <c r="F218" i="35" s="1"/>
  <c r="AX216" i="35"/>
  <c r="AZ216" i="35" s="1"/>
  <c r="BC216" i="35" s="1"/>
  <c r="G216" i="35" s="1"/>
  <c r="F216" i="35" s="1"/>
  <c r="AW215" i="35"/>
  <c r="AY215" i="35" s="1"/>
  <c r="BA215" i="35" s="1"/>
  <c r="AX161" i="36"/>
  <c r="AZ161" i="36" s="1"/>
  <c r="AW161" i="36"/>
  <c r="AY161" i="36" s="1"/>
  <c r="BA161" i="36" s="1"/>
  <c r="AX164" i="36"/>
  <c r="AZ164" i="36" s="1"/>
  <c r="AW164" i="36"/>
  <c r="AY164" i="36" s="1"/>
  <c r="BA164" i="36" s="1"/>
  <c r="AX162" i="36"/>
  <c r="AZ162" i="36" s="1"/>
  <c r="AW162" i="36"/>
  <c r="AY162" i="36" s="1"/>
  <c r="BA162" i="36" s="1"/>
  <c r="AX160" i="36"/>
  <c r="AZ160" i="36" s="1"/>
  <c r="AW160" i="36"/>
  <c r="AY160" i="36" s="1"/>
  <c r="BA160" i="36" s="1"/>
  <c r="AX163" i="36"/>
  <c r="AZ163" i="36" s="1"/>
  <c r="AW163" i="36"/>
  <c r="AY163" i="36" s="1"/>
  <c r="BA163" i="36" s="1"/>
  <c r="AX159" i="36"/>
  <c r="AZ159" i="36" s="1"/>
  <c r="AW159" i="36"/>
  <c r="AY159" i="36" s="1"/>
  <c r="BA159" i="36" s="1"/>
  <c r="AX156" i="36"/>
  <c r="AZ156" i="36" s="1"/>
  <c r="AW156" i="36"/>
  <c r="AY156" i="36" s="1"/>
  <c r="BA156" i="36" s="1"/>
  <c r="AX157" i="36"/>
  <c r="AZ157" i="36" s="1"/>
  <c r="AW157" i="36"/>
  <c r="AY157" i="36" s="1"/>
  <c r="BA157" i="36" s="1"/>
  <c r="AX144" i="36"/>
  <c r="AZ144" i="36" s="1"/>
  <c r="AW144" i="36"/>
  <c r="AY144" i="36" s="1"/>
  <c r="BA144" i="36" s="1"/>
  <c r="AX146" i="36"/>
  <c r="AZ146" i="36" s="1"/>
  <c r="AW146" i="36"/>
  <c r="AY146" i="36" s="1"/>
  <c r="BA146" i="36" s="1"/>
  <c r="AX158" i="36"/>
  <c r="AZ158" i="36" s="1"/>
  <c r="AW158" i="36"/>
  <c r="AY158" i="36" s="1"/>
  <c r="BA158" i="36" s="1"/>
  <c r="AX147" i="36"/>
  <c r="AZ147" i="36" s="1"/>
  <c r="AW147" i="36"/>
  <c r="AY147" i="36" s="1"/>
  <c r="BA147" i="36" s="1"/>
  <c r="AX150" i="36"/>
  <c r="AZ150" i="36" s="1"/>
  <c r="AW150" i="36"/>
  <c r="AY150" i="36" s="1"/>
  <c r="BA150" i="36" s="1"/>
  <c r="AX143" i="36"/>
  <c r="AZ143" i="36" s="1"/>
  <c r="AW143" i="36"/>
  <c r="AY143" i="36" s="1"/>
  <c r="BA143" i="36" s="1"/>
  <c r="AX148" i="36"/>
  <c r="AZ148" i="36" s="1"/>
  <c r="AW148" i="36"/>
  <c r="AY148" i="36" s="1"/>
  <c r="BA148" i="36" s="1"/>
  <c r="AX154" i="36"/>
  <c r="AZ154" i="36" s="1"/>
  <c r="AW154" i="36"/>
  <c r="AY154" i="36" s="1"/>
  <c r="BA154" i="36" s="1"/>
  <c r="AX142" i="36"/>
  <c r="AZ142" i="36" s="1"/>
  <c r="AW142" i="36"/>
  <c r="AY142" i="36" s="1"/>
  <c r="BA142" i="36" s="1"/>
  <c r="AU139" i="36"/>
  <c r="C9" i="36"/>
  <c r="AX149" i="36"/>
  <c r="AZ149" i="36" s="1"/>
  <c r="AW149" i="36"/>
  <c r="AY149" i="36" s="1"/>
  <c r="BA149" i="36" s="1"/>
  <c r="AX145" i="36"/>
  <c r="AZ145" i="36" s="1"/>
  <c r="AW145" i="36"/>
  <c r="AY145" i="36" s="1"/>
  <c r="BA145" i="36" s="1"/>
  <c r="AX152" i="36"/>
  <c r="AZ152" i="36" s="1"/>
  <c r="AW152" i="36"/>
  <c r="AY152" i="36" s="1"/>
  <c r="BA152" i="36" s="1"/>
  <c r="AB201" i="36"/>
  <c r="BB201" i="36"/>
  <c r="AX177" i="36"/>
  <c r="AZ177" i="36" s="1"/>
  <c r="BB177" i="36" s="1"/>
  <c r="AW177" i="36"/>
  <c r="AY177" i="36" s="1"/>
  <c r="BA177" i="36" s="1"/>
  <c r="AX155" i="36"/>
  <c r="AZ155" i="36" s="1"/>
  <c r="AW155" i="36"/>
  <c r="AY155" i="36" s="1"/>
  <c r="BA155" i="36" s="1"/>
  <c r="AX141" i="36"/>
  <c r="AZ141" i="36" s="1"/>
  <c r="AW141" i="36"/>
  <c r="AY141" i="36" s="1"/>
  <c r="BA141" i="36" s="1"/>
  <c r="AX153" i="36"/>
  <c r="AZ153" i="36" s="1"/>
  <c r="AW153" i="36"/>
  <c r="AY153" i="36" s="1"/>
  <c r="BA153" i="36" s="1"/>
  <c r="AX151" i="36"/>
  <c r="AZ151" i="36" s="1"/>
  <c r="AW151" i="36"/>
  <c r="AY151" i="36" s="1"/>
  <c r="BA151" i="36" s="1"/>
  <c r="AX140" i="36"/>
  <c r="AZ140" i="36" s="1"/>
  <c r="AW140" i="36"/>
  <c r="AY140" i="36" s="1"/>
  <c r="BA140" i="36" s="1"/>
  <c r="AW210" i="35"/>
  <c r="AY210" i="35" s="1"/>
  <c r="BA210" i="35" s="1"/>
  <c r="AX211" i="35"/>
  <c r="AZ211" i="35" s="1"/>
  <c r="BB211" i="35" s="1"/>
  <c r="AW208" i="35"/>
  <c r="AY208" i="35" s="1"/>
  <c r="BA208" i="35" s="1"/>
  <c r="AW223" i="35"/>
  <c r="AY223" i="35" s="1"/>
  <c r="BA223" i="35" s="1"/>
  <c r="AX207" i="35"/>
  <c r="AZ207" i="35" s="1"/>
  <c r="BB207" i="35" s="1"/>
  <c r="AW213" i="35"/>
  <c r="AY213" i="35" s="1"/>
  <c r="BA213" i="35" s="1"/>
  <c r="AW224" i="35"/>
  <c r="AY224" i="35" s="1"/>
  <c r="BA224" i="35" s="1"/>
  <c r="AV226" i="35"/>
  <c r="AX226" i="35" s="1"/>
  <c r="AZ226" i="35" s="1"/>
  <c r="AX204" i="35"/>
  <c r="AZ204" i="35" s="1"/>
  <c r="AW204" i="35"/>
  <c r="AY204" i="35" s="1"/>
  <c r="BA204" i="35" s="1"/>
  <c r="BC223" i="35"/>
  <c r="G223" i="35" s="1"/>
  <c r="F223" i="35" s="1"/>
  <c r="BB223" i="35"/>
  <c r="AB223" i="35"/>
  <c r="AB215" i="35"/>
  <c r="BC215" i="35"/>
  <c r="G215" i="35" s="1"/>
  <c r="F215" i="35" s="1"/>
  <c r="BB215" i="35"/>
  <c r="AX225" i="35"/>
  <c r="AZ225" i="35" s="1"/>
  <c r="AW225" i="35"/>
  <c r="AY225" i="35" s="1"/>
  <c r="BA225" i="35" s="1"/>
  <c r="AX214" i="35"/>
  <c r="AZ214" i="35" s="1"/>
  <c r="AW214" i="35"/>
  <c r="AY214" i="35" s="1"/>
  <c r="BA214" i="35" s="1"/>
  <c r="AB213" i="35"/>
  <c r="BC213" i="35"/>
  <c r="G213" i="35" s="1"/>
  <c r="F213" i="35" s="1"/>
  <c r="BB213" i="35"/>
  <c r="AX212" i="35"/>
  <c r="AZ212" i="35" s="1"/>
  <c r="AW212" i="35"/>
  <c r="AY212" i="35" s="1"/>
  <c r="BA212" i="35" s="1"/>
  <c r="AB224" i="35"/>
  <c r="BC224" i="35"/>
  <c r="G224" i="35" s="1"/>
  <c r="F224" i="35" s="1"/>
  <c r="BB224" i="35"/>
  <c r="AX221" i="35"/>
  <c r="AZ221" i="35" s="1"/>
  <c r="AW221" i="35"/>
  <c r="AY221" i="35" s="1"/>
  <c r="BA221" i="35" s="1"/>
  <c r="BC208" i="35"/>
  <c r="G208" i="35" s="1"/>
  <c r="F208" i="35" s="1"/>
  <c r="BB208" i="35"/>
  <c r="AB208" i="35"/>
  <c r="AX227" i="35"/>
  <c r="AZ227" i="35" s="1"/>
  <c r="AW227" i="35"/>
  <c r="AY227" i="35" s="1"/>
  <c r="BA227" i="35" s="1"/>
  <c r="AX217" i="35"/>
  <c r="AZ217" i="35" s="1"/>
  <c r="AW217" i="35"/>
  <c r="AY217" i="35" s="1"/>
  <c r="BA217" i="35" s="1"/>
  <c r="AX189" i="35"/>
  <c r="AZ189" i="35" s="1"/>
  <c r="BB189" i="35" s="1"/>
  <c r="AW189" i="35"/>
  <c r="AY189" i="35" s="1"/>
  <c r="BA189" i="35" s="1"/>
  <c r="AX222" i="35"/>
  <c r="AZ222" i="35" s="1"/>
  <c r="AW222" i="35"/>
  <c r="AY222" i="35" s="1"/>
  <c r="BA222" i="35" s="1"/>
  <c r="AX203" i="35"/>
  <c r="AZ203" i="35" s="1"/>
  <c r="AW203" i="35"/>
  <c r="AY203" i="35" s="1"/>
  <c r="BA203" i="35" s="1"/>
  <c r="AX219" i="35"/>
  <c r="AZ219" i="35" s="1"/>
  <c r="AW219" i="35"/>
  <c r="AY219" i="35" s="1"/>
  <c r="BA219" i="35" s="1"/>
  <c r="AX209" i="35"/>
  <c r="AZ209" i="35" s="1"/>
  <c r="AW209" i="35"/>
  <c r="AY209" i="35" s="1"/>
  <c r="BA209" i="35" s="1"/>
  <c r="BC210" i="35"/>
  <c r="G210" i="35" s="1"/>
  <c r="F210" i="35" s="1"/>
  <c r="BB210" i="35"/>
  <c r="AB210" i="35"/>
  <c r="AX206" i="35"/>
  <c r="AZ206" i="35" s="1"/>
  <c r="AW206" i="35"/>
  <c r="AY206" i="35" s="1"/>
  <c r="BA206" i="35" s="1"/>
  <c r="BC205" i="35"/>
  <c r="G205" i="35" s="1"/>
  <c r="F205" i="35" s="1"/>
  <c r="BB205" i="35"/>
  <c r="AB205" i="35"/>
  <c r="AB220" i="35"/>
  <c r="BC220" i="35"/>
  <c r="G220" i="35" s="1"/>
  <c r="F220" i="35" s="1"/>
  <c r="BB220" i="35"/>
  <c r="AV169" i="30"/>
  <c r="AH141" i="30"/>
  <c r="R143" i="30"/>
  <c r="V142" i="30"/>
  <c r="S144" i="30"/>
  <c r="T143" i="30"/>
  <c r="BF190" i="26"/>
  <c r="BF191" i="26" s="1"/>
  <c r="BF192" i="26" s="1"/>
  <c r="BF193" i="26" s="1"/>
  <c r="BF194" i="26" s="1"/>
  <c r="BF195" i="26" s="1"/>
  <c r="BF196" i="26" s="1"/>
  <c r="BF197" i="26" s="1"/>
  <c r="BF198" i="26" s="1"/>
  <c r="BF199" i="26" s="1"/>
  <c r="BF200" i="26" s="1"/>
  <c r="BF201" i="26" s="1"/>
  <c r="BF202" i="26" s="1"/>
  <c r="BF203" i="26" s="1"/>
  <c r="BF204" i="26" s="1"/>
  <c r="BF205" i="26" s="1"/>
  <c r="BF206" i="26" s="1"/>
  <c r="BF207" i="26" s="1"/>
  <c r="BF208" i="26" s="1"/>
  <c r="BF209" i="26" s="1"/>
  <c r="BF210" i="26" s="1"/>
  <c r="BF211" i="26" s="1"/>
  <c r="BF212" i="26" s="1"/>
  <c r="BF213" i="26" s="1"/>
  <c r="BF214" i="26" s="1"/>
  <c r="BF215" i="26" s="1"/>
  <c r="BF216" i="26" s="1"/>
  <c r="BF217" i="26" s="1"/>
  <c r="BF218" i="26" s="1"/>
  <c r="BF219" i="26" s="1"/>
  <c r="BF220" i="26" s="1"/>
  <c r="BF221" i="26" s="1"/>
  <c r="BF222" i="26" s="1"/>
  <c r="BF223" i="26" s="1"/>
  <c r="BF224" i="26" s="1"/>
  <c r="BF225" i="26" s="1"/>
  <c r="BG189" i="26"/>
  <c r="BG190" i="26" s="1"/>
  <c r="J164" i="26"/>
  <c r="K164" i="26" s="1"/>
  <c r="L164" i="26" s="1"/>
  <c r="M164" i="26" s="1"/>
  <c r="N164" i="26" s="1"/>
  <c r="G164" i="26"/>
  <c r="J163" i="26"/>
  <c r="K163" i="26" s="1"/>
  <c r="L163" i="26" s="1"/>
  <c r="M163" i="26" s="1"/>
  <c r="N163" i="26" s="1"/>
  <c r="G163" i="26"/>
  <c r="J162" i="26"/>
  <c r="K162" i="26" s="1"/>
  <c r="L162" i="26" s="1"/>
  <c r="M162" i="26" s="1"/>
  <c r="N162" i="26" s="1"/>
  <c r="G162" i="26"/>
  <c r="J161" i="26"/>
  <c r="K161" i="26" s="1"/>
  <c r="L161" i="26" s="1"/>
  <c r="M161" i="26" s="1"/>
  <c r="N161" i="26" s="1"/>
  <c r="G161" i="26"/>
  <c r="J160" i="26"/>
  <c r="K160" i="26" s="1"/>
  <c r="L160" i="26" s="1"/>
  <c r="M160" i="26" s="1"/>
  <c r="N160" i="26" s="1"/>
  <c r="G160" i="26"/>
  <c r="G159" i="26"/>
  <c r="CQ81" i="26"/>
  <c r="CO81" i="26"/>
  <c r="CM81" i="26"/>
  <c r="CK81" i="26"/>
  <c r="CI81" i="26"/>
  <c r="CG81" i="26"/>
  <c r="CE81" i="26"/>
  <c r="CC81" i="26"/>
  <c r="J149" i="26"/>
  <c r="K149" i="26" s="1"/>
  <c r="L149" i="26" s="1"/>
  <c r="M149" i="26" s="1"/>
  <c r="N149" i="26" s="1"/>
  <c r="J148" i="26"/>
  <c r="K148" i="26" s="1"/>
  <c r="L148" i="26" s="1"/>
  <c r="M148" i="26" s="1"/>
  <c r="N148" i="26" s="1"/>
  <c r="J147" i="26"/>
  <c r="K147" i="26" s="1"/>
  <c r="L147" i="26" s="1"/>
  <c r="M147" i="26" s="1"/>
  <c r="N147" i="26" s="1"/>
  <c r="J146" i="26"/>
  <c r="K146" i="26" s="1"/>
  <c r="L146" i="26" s="1"/>
  <c r="M146" i="26" s="1"/>
  <c r="N146" i="26" s="1"/>
  <c r="J145" i="26"/>
  <c r="K145" i="26" s="1"/>
  <c r="L145" i="26" s="1"/>
  <c r="M145" i="26" s="1"/>
  <c r="N145" i="26" s="1"/>
  <c r="J144" i="26"/>
  <c r="K144" i="26" s="1"/>
  <c r="L144" i="26" s="1"/>
  <c r="M144" i="26" s="1"/>
  <c r="N144" i="26" s="1"/>
  <c r="J143" i="26"/>
  <c r="K143" i="26" s="1"/>
  <c r="L143" i="26" s="1"/>
  <c r="M143" i="26" s="1"/>
  <c r="N143" i="26" s="1"/>
  <c r="J142" i="26"/>
  <c r="K142" i="26" s="1"/>
  <c r="L142" i="26" s="1"/>
  <c r="M142" i="26" s="1"/>
  <c r="N142" i="26" s="1"/>
  <c r="J141" i="26"/>
  <c r="K141" i="26" s="1"/>
  <c r="L141" i="26" s="1"/>
  <c r="M141" i="26" s="1"/>
  <c r="N141" i="26" s="1"/>
  <c r="J140" i="26"/>
  <c r="K140" i="26" s="1"/>
  <c r="L140" i="26" s="1"/>
  <c r="M140" i="26" s="1"/>
  <c r="N140" i="26" s="1"/>
  <c r="J139" i="26"/>
  <c r="K139" i="26" s="1"/>
  <c r="L139" i="26" s="1"/>
  <c r="M139" i="26" s="1"/>
  <c r="N139" i="26" s="1"/>
  <c r="C138" i="26"/>
  <c r="AG149" i="26" s="1"/>
  <c r="AL149" i="26" s="1"/>
  <c r="AM149" i="26" s="1"/>
  <c r="AN149" i="26" s="1"/>
  <c r="CN125" i="26"/>
  <c r="CN127" i="26" s="1"/>
  <c r="CL125" i="26"/>
  <c r="CL127" i="26" s="1"/>
  <c r="CF125" i="26"/>
  <c r="CF127" i="26" s="1"/>
  <c r="CD125" i="26"/>
  <c r="CD127" i="26" s="1"/>
  <c r="D4" i="26"/>
  <c r="F2" i="26"/>
  <c r="D2" i="26"/>
  <c r="BF182" i="25"/>
  <c r="BF183" i="25" s="1"/>
  <c r="BF184" i="25" s="1"/>
  <c r="BF185" i="25" s="1"/>
  <c r="BF186" i="25" s="1"/>
  <c r="BF187" i="25" s="1"/>
  <c r="BF188" i="25" s="1"/>
  <c r="BF189" i="25" s="1"/>
  <c r="BF190" i="25" s="1"/>
  <c r="BF191" i="25" s="1"/>
  <c r="BF192" i="25" s="1"/>
  <c r="BF193" i="25" s="1"/>
  <c r="BF194" i="25" s="1"/>
  <c r="BF195" i="25" s="1"/>
  <c r="BF196" i="25" s="1"/>
  <c r="BF197" i="25" s="1"/>
  <c r="BF198" i="25" s="1"/>
  <c r="BF199" i="25" s="1"/>
  <c r="BF200" i="25" s="1"/>
  <c r="BF201" i="25" s="1"/>
  <c r="BF202" i="25" s="1"/>
  <c r="BF203" i="25" s="1"/>
  <c r="BF204" i="25" s="1"/>
  <c r="BF205" i="25" s="1"/>
  <c r="BF206" i="25" s="1"/>
  <c r="BF207" i="25" s="1"/>
  <c r="BF208" i="25" s="1"/>
  <c r="BF209" i="25" s="1"/>
  <c r="BF210" i="25" s="1"/>
  <c r="BF211" i="25" s="1"/>
  <c r="BF212" i="25" s="1"/>
  <c r="BF213" i="25" s="1"/>
  <c r="BF214" i="25" s="1"/>
  <c r="BF215" i="25" s="1"/>
  <c r="BF216" i="25" s="1"/>
  <c r="BF217" i="25" s="1"/>
  <c r="BG181" i="25"/>
  <c r="BG182" i="25" s="1"/>
  <c r="BG183" i="25" s="1"/>
  <c r="BG184" i="25" s="1"/>
  <c r="BG185" i="25" s="1"/>
  <c r="BG186" i="25" s="1"/>
  <c r="J178" i="25"/>
  <c r="K178" i="25" s="1"/>
  <c r="L178" i="25" s="1"/>
  <c r="M178" i="25" s="1"/>
  <c r="N178" i="25" s="1"/>
  <c r="G178" i="25"/>
  <c r="J177" i="25"/>
  <c r="K177" i="25" s="1"/>
  <c r="L177" i="25" s="1"/>
  <c r="M177" i="25" s="1"/>
  <c r="N177" i="25" s="1"/>
  <c r="G177" i="25"/>
  <c r="J176" i="25"/>
  <c r="K176" i="25" s="1"/>
  <c r="L176" i="25" s="1"/>
  <c r="M176" i="25" s="1"/>
  <c r="N176" i="25" s="1"/>
  <c r="G176" i="25"/>
  <c r="J175" i="25"/>
  <c r="K175" i="25" s="1"/>
  <c r="L175" i="25" s="1"/>
  <c r="M175" i="25" s="1"/>
  <c r="N175" i="25" s="1"/>
  <c r="G175" i="25"/>
  <c r="J174" i="25"/>
  <c r="K174" i="25" s="1"/>
  <c r="L174" i="25" s="1"/>
  <c r="M174" i="25" s="1"/>
  <c r="N174" i="25" s="1"/>
  <c r="G174" i="25"/>
  <c r="G173" i="25"/>
  <c r="CQ55" i="25"/>
  <c r="CO55" i="25"/>
  <c r="CM55" i="25"/>
  <c r="CK55" i="25"/>
  <c r="CI55" i="25"/>
  <c r="CG55" i="25"/>
  <c r="CE55" i="25"/>
  <c r="CC55" i="25"/>
  <c r="J159" i="25"/>
  <c r="K159" i="25" s="1"/>
  <c r="L159" i="25" s="1"/>
  <c r="M159" i="25" s="1"/>
  <c r="N159" i="25" s="1"/>
  <c r="J158" i="25"/>
  <c r="K158" i="25" s="1"/>
  <c r="L158" i="25" s="1"/>
  <c r="M158" i="25" s="1"/>
  <c r="N158" i="25" s="1"/>
  <c r="J157" i="25"/>
  <c r="K157" i="25" s="1"/>
  <c r="L157" i="25" s="1"/>
  <c r="M157" i="25" s="1"/>
  <c r="N157" i="25" s="1"/>
  <c r="J156" i="25"/>
  <c r="K156" i="25" s="1"/>
  <c r="L156" i="25" s="1"/>
  <c r="M156" i="25" s="1"/>
  <c r="N156" i="25" s="1"/>
  <c r="J155" i="25"/>
  <c r="K155" i="25" s="1"/>
  <c r="L155" i="25" s="1"/>
  <c r="M155" i="25" s="1"/>
  <c r="N155" i="25" s="1"/>
  <c r="J154" i="25"/>
  <c r="K154" i="25" s="1"/>
  <c r="L154" i="25" s="1"/>
  <c r="M154" i="25" s="1"/>
  <c r="N154" i="25" s="1"/>
  <c r="J153" i="25"/>
  <c r="K153" i="25" s="1"/>
  <c r="L153" i="25" s="1"/>
  <c r="M153" i="25" s="1"/>
  <c r="N153" i="25" s="1"/>
  <c r="J152" i="25"/>
  <c r="K152" i="25" s="1"/>
  <c r="L152" i="25" s="1"/>
  <c r="M152" i="25" s="1"/>
  <c r="N152" i="25" s="1"/>
  <c r="J151" i="25"/>
  <c r="K151" i="25" s="1"/>
  <c r="L151" i="25" s="1"/>
  <c r="M151" i="25" s="1"/>
  <c r="N151" i="25" s="1"/>
  <c r="C150" i="25"/>
  <c r="CN138" i="25"/>
  <c r="CN140" i="25" s="1"/>
  <c r="CL138" i="25"/>
  <c r="CL140" i="25" s="1"/>
  <c r="CF138" i="25"/>
  <c r="CF140" i="25" s="1"/>
  <c r="CD138" i="25"/>
  <c r="CD140" i="25" s="1"/>
  <c r="D4" i="25"/>
  <c r="F2" i="25"/>
  <c r="D2" i="25"/>
  <c r="BI111" i="20"/>
  <c r="BI112" i="20" s="1"/>
  <c r="BH112" i="20"/>
  <c r="BH113" i="20" s="1"/>
  <c r="BH114" i="20" s="1"/>
  <c r="BH115" i="20" s="1"/>
  <c r="BH116" i="20" s="1"/>
  <c r="BH117" i="20" s="1"/>
  <c r="BH118" i="20" s="1"/>
  <c r="BH119" i="20" s="1"/>
  <c r="BH120" i="20" s="1"/>
  <c r="BH121" i="20" s="1"/>
  <c r="BH122" i="20" s="1"/>
  <c r="BH123" i="20" s="1"/>
  <c r="BH124" i="20" s="1"/>
  <c r="BH125" i="20" s="1"/>
  <c r="CS57" i="20"/>
  <c r="CQ57" i="20"/>
  <c r="CO57" i="20"/>
  <c r="CM57" i="20"/>
  <c r="CK57" i="20"/>
  <c r="CI57" i="20"/>
  <c r="CG57" i="20"/>
  <c r="CE57" i="20"/>
  <c r="CP101" i="20"/>
  <c r="CP103" i="20" s="1"/>
  <c r="CN101" i="20"/>
  <c r="CN103" i="20" s="1"/>
  <c r="CH101" i="20"/>
  <c r="CH103" i="20" s="1"/>
  <c r="CF101" i="20"/>
  <c r="CF103" i="20" s="1"/>
  <c r="BS27" i="20"/>
  <c r="D4" i="20"/>
  <c r="F2" i="20"/>
  <c r="D2" i="20"/>
  <c r="J196" i="23"/>
  <c r="K196" i="23" s="1"/>
  <c r="L196" i="23" s="1"/>
  <c r="M196" i="23" s="1"/>
  <c r="N196" i="23" s="1"/>
  <c r="G196" i="23"/>
  <c r="J195" i="23"/>
  <c r="K195" i="23" s="1"/>
  <c r="L195" i="23" s="1"/>
  <c r="M195" i="23" s="1"/>
  <c r="N195" i="23" s="1"/>
  <c r="G195" i="23"/>
  <c r="J194" i="23"/>
  <c r="K194" i="23" s="1"/>
  <c r="L194" i="23" s="1"/>
  <c r="M194" i="23" s="1"/>
  <c r="N194" i="23" s="1"/>
  <c r="G194" i="23"/>
  <c r="J193" i="23"/>
  <c r="K193" i="23" s="1"/>
  <c r="L193" i="23" s="1"/>
  <c r="M193" i="23" s="1"/>
  <c r="N193" i="23" s="1"/>
  <c r="G193" i="23"/>
  <c r="J192" i="23"/>
  <c r="K192" i="23" s="1"/>
  <c r="L192" i="23" s="1"/>
  <c r="M192" i="23" s="1"/>
  <c r="N192" i="23" s="1"/>
  <c r="G192" i="23"/>
  <c r="J191" i="23"/>
  <c r="K191" i="23" s="1"/>
  <c r="L191" i="23" s="1"/>
  <c r="M191" i="23" s="1"/>
  <c r="N191" i="23" s="1"/>
  <c r="G191" i="23"/>
  <c r="J190" i="23"/>
  <c r="K190" i="23" s="1"/>
  <c r="L190" i="23" s="1"/>
  <c r="M190" i="23" s="1"/>
  <c r="N190" i="23" s="1"/>
  <c r="G190" i="23"/>
  <c r="J189" i="23"/>
  <c r="K189" i="23" s="1"/>
  <c r="L189" i="23" s="1"/>
  <c r="M189" i="23" s="1"/>
  <c r="N189" i="23" s="1"/>
  <c r="G189" i="23"/>
  <c r="J188" i="23"/>
  <c r="K188" i="23" s="1"/>
  <c r="L188" i="23" s="1"/>
  <c r="M188" i="23" s="1"/>
  <c r="N188" i="23" s="1"/>
  <c r="G188" i="23"/>
  <c r="J187" i="23"/>
  <c r="K187" i="23" s="1"/>
  <c r="L187" i="23" s="1"/>
  <c r="M187" i="23" s="1"/>
  <c r="N187" i="23" s="1"/>
  <c r="G187" i="23"/>
  <c r="J186" i="23"/>
  <c r="K186" i="23" s="1"/>
  <c r="L186" i="23" s="1"/>
  <c r="M186" i="23" s="1"/>
  <c r="N186" i="23" s="1"/>
  <c r="G186" i="23"/>
  <c r="J185" i="23"/>
  <c r="K185" i="23" s="1"/>
  <c r="L185" i="23" s="1"/>
  <c r="M185" i="23" s="1"/>
  <c r="N185" i="23" s="1"/>
  <c r="G185" i="23"/>
  <c r="BG184" i="23"/>
  <c r="BG185" i="23" s="1"/>
  <c r="BG186" i="23" s="1"/>
  <c r="BG187" i="23" s="1"/>
  <c r="BG188" i="23" s="1"/>
  <c r="BG189" i="23" s="1"/>
  <c r="BG190" i="23" s="1"/>
  <c r="BG191" i="23" s="1"/>
  <c r="BG192" i="23" s="1"/>
  <c r="BG193" i="23" s="1"/>
  <c r="BG194" i="23" s="1"/>
  <c r="BG195" i="23" s="1"/>
  <c r="BG196" i="23" s="1"/>
  <c r="BG197" i="23" s="1"/>
  <c r="BG198" i="23" s="1"/>
  <c r="BG199" i="23" s="1"/>
  <c r="BG200" i="23" s="1"/>
  <c r="BG201" i="23" s="1"/>
  <c r="BG202" i="23" s="1"/>
  <c r="BG203" i="23" s="1"/>
  <c r="BG204" i="23" s="1"/>
  <c r="BG205" i="23" s="1"/>
  <c r="BG206" i="23" s="1"/>
  <c r="BG207" i="23" s="1"/>
  <c r="BG208" i="23" s="1"/>
  <c r="BG209" i="23" s="1"/>
  <c r="BG210" i="23" s="1"/>
  <c r="BG211" i="23" s="1"/>
  <c r="BG212" i="23" s="1"/>
  <c r="BG213" i="23" s="1"/>
  <c r="BG214" i="23" s="1"/>
  <c r="BG215" i="23" s="1"/>
  <c r="BG216" i="23" s="1"/>
  <c r="BG217" i="23" s="1"/>
  <c r="BG218" i="23" s="1"/>
  <c r="BG219" i="23" s="1"/>
  <c r="J184" i="23"/>
  <c r="K184" i="23" s="1"/>
  <c r="L184" i="23" s="1"/>
  <c r="M184" i="23" s="1"/>
  <c r="N184" i="23" s="1"/>
  <c r="G184" i="23"/>
  <c r="BH183" i="23"/>
  <c r="BH184" i="23" s="1"/>
  <c r="BH185" i="23" s="1"/>
  <c r="BH186" i="23" s="1"/>
  <c r="J183" i="23"/>
  <c r="K183" i="23" s="1"/>
  <c r="L183" i="23" s="1"/>
  <c r="M183" i="23" s="1"/>
  <c r="N183" i="23" s="1"/>
  <c r="G183" i="23"/>
  <c r="J182" i="23"/>
  <c r="K182" i="23" s="1"/>
  <c r="L182" i="23" s="1"/>
  <c r="M182" i="23" s="1"/>
  <c r="N182" i="23" s="1"/>
  <c r="G182" i="23"/>
  <c r="J181" i="23"/>
  <c r="K181" i="23" s="1"/>
  <c r="L181" i="23" s="1"/>
  <c r="M181" i="23" s="1"/>
  <c r="N181" i="23" s="1"/>
  <c r="G181" i="23"/>
  <c r="J180" i="23"/>
  <c r="K180" i="23" s="1"/>
  <c r="L180" i="23" s="1"/>
  <c r="M180" i="23" s="1"/>
  <c r="N180" i="23" s="1"/>
  <c r="G180" i="23"/>
  <c r="J179" i="23"/>
  <c r="K179" i="23" s="1"/>
  <c r="L179" i="23" s="1"/>
  <c r="M179" i="23" s="1"/>
  <c r="N179" i="23" s="1"/>
  <c r="G179" i="23"/>
  <c r="J178" i="23"/>
  <c r="K178" i="23" s="1"/>
  <c r="L178" i="23" s="1"/>
  <c r="M178" i="23" s="1"/>
  <c r="N178" i="23" s="1"/>
  <c r="G178" i="23"/>
  <c r="G177" i="23"/>
  <c r="CR55" i="23"/>
  <c r="CP55" i="23"/>
  <c r="CN55" i="23"/>
  <c r="CL55" i="23"/>
  <c r="CJ55" i="23"/>
  <c r="CH55" i="23"/>
  <c r="CF55" i="23"/>
  <c r="CD55" i="23"/>
  <c r="J164" i="23"/>
  <c r="K164" i="23" s="1"/>
  <c r="L164" i="23" s="1"/>
  <c r="M164" i="23" s="1"/>
  <c r="N164" i="23" s="1"/>
  <c r="J163" i="23"/>
  <c r="K163" i="23" s="1"/>
  <c r="L163" i="23" s="1"/>
  <c r="M163" i="23" s="1"/>
  <c r="N163" i="23" s="1"/>
  <c r="J162" i="23"/>
  <c r="K162" i="23" s="1"/>
  <c r="L162" i="23" s="1"/>
  <c r="M162" i="23" s="1"/>
  <c r="N162" i="23" s="1"/>
  <c r="J161" i="23"/>
  <c r="K161" i="23" s="1"/>
  <c r="L161" i="23" s="1"/>
  <c r="M161" i="23" s="1"/>
  <c r="N161" i="23" s="1"/>
  <c r="J160" i="23"/>
  <c r="K160" i="23" s="1"/>
  <c r="L160" i="23" s="1"/>
  <c r="M160" i="23" s="1"/>
  <c r="N160" i="23" s="1"/>
  <c r="J159" i="23"/>
  <c r="K159" i="23" s="1"/>
  <c r="L159" i="23" s="1"/>
  <c r="M159" i="23" s="1"/>
  <c r="N159" i="23" s="1"/>
  <c r="J158" i="23"/>
  <c r="K158" i="23" s="1"/>
  <c r="L158" i="23" s="1"/>
  <c r="M158" i="23" s="1"/>
  <c r="N158" i="23" s="1"/>
  <c r="J157" i="23"/>
  <c r="K157" i="23" s="1"/>
  <c r="L157" i="23" s="1"/>
  <c r="M157" i="23" s="1"/>
  <c r="N157" i="23" s="1"/>
  <c r="J156" i="23"/>
  <c r="K156" i="23" s="1"/>
  <c r="L156" i="23" s="1"/>
  <c r="M156" i="23" s="1"/>
  <c r="N156" i="23" s="1"/>
  <c r="J155" i="23"/>
  <c r="K155" i="23" s="1"/>
  <c r="L155" i="23" s="1"/>
  <c r="M155" i="23" s="1"/>
  <c r="N155" i="23" s="1"/>
  <c r="J154" i="23"/>
  <c r="K154" i="23" s="1"/>
  <c r="L154" i="23" s="1"/>
  <c r="M154" i="23" s="1"/>
  <c r="N154" i="23" s="1"/>
  <c r="C153" i="23"/>
  <c r="O164" i="23" s="1"/>
  <c r="P164" i="23" s="1"/>
  <c r="CO98" i="23"/>
  <c r="CO100" i="23" s="1"/>
  <c r="CM98" i="23"/>
  <c r="CM100" i="23" s="1"/>
  <c r="CG98" i="23"/>
  <c r="CG100" i="23" s="1"/>
  <c r="CE98" i="23"/>
  <c r="CE100" i="23" s="1"/>
  <c r="D4" i="23"/>
  <c r="F2" i="23"/>
  <c r="D2" i="23"/>
  <c r="AP164" i="35" l="1"/>
  <c r="AU164" i="35" s="1"/>
  <c r="AX183" i="35"/>
  <c r="AZ183" i="35" s="1"/>
  <c r="BB183" i="35" s="1"/>
  <c r="J58" i="20"/>
  <c r="L34" i="20"/>
  <c r="J52" i="20"/>
  <c r="L28" i="20"/>
  <c r="L46" i="20"/>
  <c r="J22" i="20"/>
  <c r="J40" i="20"/>
  <c r="AW179" i="35"/>
  <c r="AY179" i="35" s="1"/>
  <c r="BA179" i="35" s="1"/>
  <c r="AX186" i="35"/>
  <c r="AZ186" i="35" s="1"/>
  <c r="BB186" i="35" s="1"/>
  <c r="AW188" i="35"/>
  <c r="AY188" i="35" s="1"/>
  <c r="BA188" i="35" s="1"/>
  <c r="AW185" i="35"/>
  <c r="AY185" i="35" s="1"/>
  <c r="BA185" i="35" s="1"/>
  <c r="AB211" i="35"/>
  <c r="AW202" i="35"/>
  <c r="AY202" i="35" s="1"/>
  <c r="BA202" i="35" s="1"/>
  <c r="AB218" i="35"/>
  <c r="AB216" i="35"/>
  <c r="BB216" i="35"/>
  <c r="AP144" i="35"/>
  <c r="AU144" i="35" s="1"/>
  <c r="AW144" i="35" s="1"/>
  <c r="AY144" i="35" s="1"/>
  <c r="BA144" i="35" s="1"/>
  <c r="AP145" i="35"/>
  <c r="AU145" i="35" s="1"/>
  <c r="AX145" i="35" s="1"/>
  <c r="AZ145" i="35" s="1"/>
  <c r="AP150" i="35"/>
  <c r="AU150" i="35" s="1"/>
  <c r="AW150" i="35" s="1"/>
  <c r="AY150" i="35" s="1"/>
  <c r="BA150" i="35" s="1"/>
  <c r="AP142" i="35"/>
  <c r="AU142" i="35" s="1"/>
  <c r="AX142" i="35" s="1"/>
  <c r="AZ142" i="35" s="1"/>
  <c r="AP146" i="35"/>
  <c r="AU146" i="35" s="1"/>
  <c r="AW146" i="35" s="1"/>
  <c r="AY146" i="35" s="1"/>
  <c r="BA146" i="35" s="1"/>
  <c r="AP158" i="35"/>
  <c r="AU158" i="35" s="1"/>
  <c r="AX158" i="35" s="1"/>
  <c r="AZ158" i="35" s="1"/>
  <c r="AP162" i="35"/>
  <c r="AU162" i="35" s="1"/>
  <c r="AX162" i="35" s="1"/>
  <c r="AZ162" i="35" s="1"/>
  <c r="AP143" i="35"/>
  <c r="AU143" i="35" s="1"/>
  <c r="AX143" i="35" s="1"/>
  <c r="AZ143" i="35" s="1"/>
  <c r="AP157" i="35"/>
  <c r="AU157" i="35" s="1"/>
  <c r="AW157" i="35" s="1"/>
  <c r="AY157" i="35" s="1"/>
  <c r="BA157" i="35" s="1"/>
  <c r="AP152" i="35"/>
  <c r="AU152" i="35" s="1"/>
  <c r="AW152" i="35" s="1"/>
  <c r="AY152" i="35" s="1"/>
  <c r="BA152" i="35" s="1"/>
  <c r="AP140" i="35"/>
  <c r="AU140" i="35" s="1"/>
  <c r="AX140" i="35" s="1"/>
  <c r="AZ140" i="35" s="1"/>
  <c r="AP141" i="35"/>
  <c r="AU141" i="35" s="1"/>
  <c r="AX141" i="35" s="1"/>
  <c r="AZ141" i="35" s="1"/>
  <c r="AP151" i="35"/>
  <c r="AU151" i="35" s="1"/>
  <c r="AW151" i="35" s="1"/>
  <c r="AY151" i="35" s="1"/>
  <c r="BA151" i="35" s="1"/>
  <c r="AP139" i="35"/>
  <c r="AP135" i="35" s="1"/>
  <c r="C9" i="35" s="1"/>
  <c r="AP147" i="35"/>
  <c r="AU147" i="35" s="1"/>
  <c r="AW147" i="35" s="1"/>
  <c r="AY147" i="35" s="1"/>
  <c r="BA147" i="35" s="1"/>
  <c r="AP154" i="35"/>
  <c r="AU154" i="35" s="1"/>
  <c r="AX154" i="35" s="1"/>
  <c r="AZ154" i="35" s="1"/>
  <c r="AP153" i="35"/>
  <c r="AU153" i="35" s="1"/>
  <c r="AX153" i="35" s="1"/>
  <c r="AZ153" i="35" s="1"/>
  <c r="AP148" i="35"/>
  <c r="AU148" i="35" s="1"/>
  <c r="AX148" i="35" s="1"/>
  <c r="AZ148" i="35" s="1"/>
  <c r="AP155" i="35"/>
  <c r="AU155" i="35" s="1"/>
  <c r="AX155" i="35" s="1"/>
  <c r="AZ155" i="35" s="1"/>
  <c r="AP156" i="35"/>
  <c r="AU156" i="35" s="1"/>
  <c r="AX156" i="35" s="1"/>
  <c r="AZ156" i="35" s="1"/>
  <c r="AP149" i="35"/>
  <c r="AU149" i="35" s="1"/>
  <c r="AW149" i="35" s="1"/>
  <c r="AY149" i="35" s="1"/>
  <c r="BA149" i="35" s="1"/>
  <c r="AW182" i="35"/>
  <c r="AY182" i="35" s="1"/>
  <c r="BA182" i="35" s="1"/>
  <c r="AX184" i="35"/>
  <c r="AZ184" i="35" s="1"/>
  <c r="BB184" i="35" s="1"/>
  <c r="AW181" i="35"/>
  <c r="AY181" i="35" s="1"/>
  <c r="BA181" i="35" s="1"/>
  <c r="AP163" i="35"/>
  <c r="AU163" i="35" s="1"/>
  <c r="AW163" i="35" s="1"/>
  <c r="AY163" i="35" s="1"/>
  <c r="BA163" i="35" s="1"/>
  <c r="AT196" i="35"/>
  <c r="AP161" i="35"/>
  <c r="AU161" i="35" s="1"/>
  <c r="AX161" i="35" s="1"/>
  <c r="AZ161" i="35" s="1"/>
  <c r="AP160" i="35"/>
  <c r="AU160" i="35" s="1"/>
  <c r="AW160" i="35" s="1"/>
  <c r="AY160" i="35" s="1"/>
  <c r="BA160" i="35" s="1"/>
  <c r="AW180" i="35"/>
  <c r="AY180" i="35" s="1"/>
  <c r="BA180" i="35" s="1"/>
  <c r="BB218" i="35"/>
  <c r="AW187" i="35"/>
  <c r="AY187" i="35" s="1"/>
  <c r="BA187" i="35" s="1"/>
  <c r="O160" i="25"/>
  <c r="P160" i="25" s="1"/>
  <c r="Q160" i="25" s="1"/>
  <c r="AG161" i="25"/>
  <c r="O161" i="25"/>
  <c r="P161" i="25" s="1"/>
  <c r="Q161" i="25" s="1"/>
  <c r="AG160" i="25"/>
  <c r="O156" i="25"/>
  <c r="P156" i="25" s="1"/>
  <c r="AB207" i="35"/>
  <c r="BC207" i="35"/>
  <c r="G207" i="35" s="1"/>
  <c r="F207" i="35" s="1"/>
  <c r="BC211" i="35"/>
  <c r="G211" i="35" s="1"/>
  <c r="F211" i="35" s="1"/>
  <c r="AX159" i="35"/>
  <c r="AZ159" i="35" s="1"/>
  <c r="AW159" i="35"/>
  <c r="AY159" i="35" s="1"/>
  <c r="BA159" i="35" s="1"/>
  <c r="AX164" i="35"/>
  <c r="AZ164" i="35" s="1"/>
  <c r="AW164" i="35"/>
  <c r="AY164" i="35" s="1"/>
  <c r="BA164" i="35" s="1"/>
  <c r="BC159" i="36"/>
  <c r="G159" i="36" s="1"/>
  <c r="AB159" i="36"/>
  <c r="BB159" i="36"/>
  <c r="BB160" i="36"/>
  <c r="BC160" i="36"/>
  <c r="G160" i="36" s="1"/>
  <c r="AB160" i="36"/>
  <c r="BB164" i="36"/>
  <c r="AB164" i="36"/>
  <c r="BC164" i="36"/>
  <c r="G164" i="36" s="1"/>
  <c r="AB163" i="36"/>
  <c r="BC163" i="36"/>
  <c r="G163" i="36" s="1"/>
  <c r="BB163" i="36"/>
  <c r="AB162" i="36"/>
  <c r="BC162" i="36"/>
  <c r="G162" i="36" s="1"/>
  <c r="BB162" i="36"/>
  <c r="BB161" i="36"/>
  <c r="AB161" i="36"/>
  <c r="BC161" i="36"/>
  <c r="G161" i="36" s="1"/>
  <c r="D3" i="36"/>
  <c r="D22" i="36"/>
  <c r="C3" i="36"/>
  <c r="C5" i="36"/>
  <c r="C22" i="36"/>
  <c r="AB140" i="36"/>
  <c r="BB140" i="36"/>
  <c r="BC140" i="36"/>
  <c r="G140" i="36" s="1"/>
  <c r="BB153" i="36"/>
  <c r="AB153" i="36"/>
  <c r="BC153" i="36"/>
  <c r="G153" i="36" s="1"/>
  <c r="BC155" i="36"/>
  <c r="G155" i="36" s="1"/>
  <c r="BB155" i="36"/>
  <c r="AB155" i="36"/>
  <c r="BB145" i="36"/>
  <c r="AB145" i="36"/>
  <c r="BC145" i="36"/>
  <c r="G145" i="36" s="1"/>
  <c r="AX139" i="36"/>
  <c r="AZ139" i="36" s="1"/>
  <c r="AW139" i="36"/>
  <c r="AY139" i="36" s="1"/>
  <c r="BA139" i="36" s="1"/>
  <c r="BC154" i="36"/>
  <c r="G154" i="36" s="1"/>
  <c r="BB154" i="36"/>
  <c r="AB154" i="36"/>
  <c r="BC143" i="36"/>
  <c r="G143" i="36" s="1"/>
  <c r="BB143" i="36"/>
  <c r="AB143" i="36"/>
  <c r="BC147" i="36"/>
  <c r="G147" i="36" s="1"/>
  <c r="BB147" i="36"/>
  <c r="AB147" i="36"/>
  <c r="BC146" i="36"/>
  <c r="G146" i="36" s="1"/>
  <c r="BB146" i="36"/>
  <c r="AB146" i="36"/>
  <c r="BB157" i="36"/>
  <c r="AB157" i="36"/>
  <c r="BC157" i="36"/>
  <c r="G157" i="36" s="1"/>
  <c r="BC151" i="36"/>
  <c r="G151" i="36" s="1"/>
  <c r="BB151" i="36"/>
  <c r="AB151" i="36"/>
  <c r="BB141" i="36"/>
  <c r="AB141" i="36"/>
  <c r="BC141" i="36"/>
  <c r="G141" i="36" s="1"/>
  <c r="BB152" i="36"/>
  <c r="AB152" i="36"/>
  <c r="BC152" i="36"/>
  <c r="G152" i="36" s="1"/>
  <c r="BB149" i="36"/>
  <c r="AB149" i="36"/>
  <c r="BC149" i="36"/>
  <c r="G149" i="36" s="1"/>
  <c r="BC142" i="36"/>
  <c r="G142" i="36" s="1"/>
  <c r="BB142" i="36"/>
  <c r="AB142" i="36"/>
  <c r="BC148" i="36"/>
  <c r="G148" i="36" s="1"/>
  <c r="BB148" i="36"/>
  <c r="AB148" i="36"/>
  <c r="BC150" i="36"/>
  <c r="G150" i="36" s="1"/>
  <c r="BB150" i="36"/>
  <c r="AB150" i="36"/>
  <c r="BC158" i="36"/>
  <c r="G158" i="36" s="1"/>
  <c r="BB158" i="36"/>
  <c r="AB158" i="36"/>
  <c r="BB144" i="36"/>
  <c r="AB144" i="36"/>
  <c r="BC144" i="36"/>
  <c r="G144" i="36" s="1"/>
  <c r="BC156" i="36"/>
  <c r="G156" i="36" s="1"/>
  <c r="BB156" i="36"/>
  <c r="AB156" i="36"/>
  <c r="AW226" i="35"/>
  <c r="AY226" i="35" s="1"/>
  <c r="BA226" i="35" s="1"/>
  <c r="BC209" i="35"/>
  <c r="G209" i="35" s="1"/>
  <c r="F209" i="35" s="1"/>
  <c r="BB209" i="35"/>
  <c r="AB209" i="35"/>
  <c r="AB202" i="35"/>
  <c r="BC217" i="35"/>
  <c r="G217" i="35" s="1"/>
  <c r="F217" i="35" s="1"/>
  <c r="AB217" i="35"/>
  <c r="BB217" i="35"/>
  <c r="AB226" i="35"/>
  <c r="BC226" i="35"/>
  <c r="G226" i="35" s="1"/>
  <c r="F226" i="35" s="1"/>
  <c r="BB226" i="35"/>
  <c r="BC225" i="35"/>
  <c r="G225" i="35" s="1"/>
  <c r="F225" i="35" s="1"/>
  <c r="BB225" i="35"/>
  <c r="AB225" i="35"/>
  <c r="BC219" i="35"/>
  <c r="G219" i="35" s="1"/>
  <c r="F219" i="35" s="1"/>
  <c r="BB219" i="35"/>
  <c r="AB219" i="35"/>
  <c r="AB222" i="35"/>
  <c r="BC222" i="35"/>
  <c r="G222" i="35" s="1"/>
  <c r="F222" i="35" s="1"/>
  <c r="BB222" i="35"/>
  <c r="AX178" i="35"/>
  <c r="AZ178" i="35" s="1"/>
  <c r="BB178" i="35" s="1"/>
  <c r="AW178" i="35"/>
  <c r="AY178" i="35" s="1"/>
  <c r="BA178" i="35" s="1"/>
  <c r="BC221" i="35"/>
  <c r="G221" i="35" s="1"/>
  <c r="F221" i="35" s="1"/>
  <c r="BB221" i="35"/>
  <c r="AB221" i="35"/>
  <c r="AB212" i="35"/>
  <c r="BC212" i="35"/>
  <c r="G212" i="35" s="1"/>
  <c r="F212" i="35" s="1"/>
  <c r="BB212" i="35"/>
  <c r="BC206" i="35"/>
  <c r="G206" i="35" s="1"/>
  <c r="F206" i="35" s="1"/>
  <c r="BB206" i="35"/>
  <c r="AB206" i="35"/>
  <c r="BC203" i="35"/>
  <c r="G203" i="35" s="1"/>
  <c r="F203" i="35" s="1"/>
  <c r="BB203" i="35"/>
  <c r="AB203" i="35"/>
  <c r="BC227" i="35"/>
  <c r="G227" i="35" s="1"/>
  <c r="F227" i="35" s="1"/>
  <c r="BB227" i="35"/>
  <c r="AB227" i="35"/>
  <c r="AB214" i="35"/>
  <c r="BC214" i="35"/>
  <c r="G214" i="35" s="1"/>
  <c r="F214" i="35" s="1"/>
  <c r="BB214" i="35"/>
  <c r="BC204" i="35"/>
  <c r="G204" i="35" s="1"/>
  <c r="F204" i="35" s="1"/>
  <c r="BB204" i="35"/>
  <c r="AB204" i="35"/>
  <c r="L87" i="20"/>
  <c r="L44" i="20"/>
  <c r="J50" i="20"/>
  <c r="H13" i="20"/>
  <c r="H9" i="20"/>
  <c r="BH126" i="20"/>
  <c r="BH127" i="20" s="1"/>
  <c r="H11" i="25"/>
  <c r="H9" i="25"/>
  <c r="H11" i="26"/>
  <c r="H9" i="26"/>
  <c r="H11" i="23"/>
  <c r="H9" i="23"/>
  <c r="AH149" i="26"/>
  <c r="Q164" i="23"/>
  <c r="S145" i="30"/>
  <c r="T144" i="30"/>
  <c r="AH142" i="30"/>
  <c r="R144" i="30"/>
  <c r="V143" i="30"/>
  <c r="AV170" i="30"/>
  <c r="AG159" i="25"/>
  <c r="AH159" i="25" s="1"/>
  <c r="AL159" i="25" s="1"/>
  <c r="AM159" i="25" s="1"/>
  <c r="AN159" i="25" s="1"/>
  <c r="O154" i="25"/>
  <c r="P154" i="25" s="1"/>
  <c r="Q154" i="25" s="1"/>
  <c r="J150" i="25"/>
  <c r="P150" i="25" s="1"/>
  <c r="Q150" i="25" s="1"/>
  <c r="S150" i="25" s="1"/>
  <c r="T150" i="25" s="1"/>
  <c r="R151" i="25" s="1"/>
  <c r="C7" i="25"/>
  <c r="BQ25" i="25" s="1"/>
  <c r="C7" i="26"/>
  <c r="BQ51" i="26" s="1"/>
  <c r="BO82" i="26" s="1"/>
  <c r="O140" i="26"/>
  <c r="P140" i="26" s="1"/>
  <c r="Q140" i="26" s="1"/>
  <c r="J138" i="26"/>
  <c r="P138" i="26" s="1"/>
  <c r="Q138" i="26" s="1"/>
  <c r="S138" i="26" s="1"/>
  <c r="T138" i="26" s="1"/>
  <c r="R139" i="26" s="1"/>
  <c r="AG141" i="26"/>
  <c r="AQ162" i="23"/>
  <c r="AQ156" i="23"/>
  <c r="AQ160" i="23"/>
  <c r="AQ155" i="23"/>
  <c r="AQ159" i="23"/>
  <c r="AQ163" i="23"/>
  <c r="AQ153" i="23"/>
  <c r="AQ157" i="23"/>
  <c r="AQ161" i="23"/>
  <c r="C7" i="23"/>
  <c r="BR25" i="23" s="1"/>
  <c r="AQ158" i="23"/>
  <c r="O155" i="23"/>
  <c r="P155" i="23" s="1"/>
  <c r="Q155" i="23" s="1"/>
  <c r="AQ154" i="23"/>
  <c r="O142" i="26"/>
  <c r="P142" i="26" s="1"/>
  <c r="Q142" i="26" s="1"/>
  <c r="O144" i="26"/>
  <c r="P144" i="26" s="1"/>
  <c r="Q144" i="26" s="1"/>
  <c r="AG145" i="26"/>
  <c r="AH145" i="26" s="1"/>
  <c r="O146" i="26"/>
  <c r="P146" i="26" s="1"/>
  <c r="Q146" i="26" s="1"/>
  <c r="AI149" i="26"/>
  <c r="AJ149" i="26" s="1"/>
  <c r="AK149" i="26" s="1"/>
  <c r="AR149" i="26" s="1"/>
  <c r="AG147" i="26"/>
  <c r="AG139" i="26"/>
  <c r="AH139" i="26" s="1"/>
  <c r="AG143" i="26"/>
  <c r="O148" i="26"/>
  <c r="P148" i="26" s="1"/>
  <c r="Q148" i="26" s="1"/>
  <c r="AG140" i="26"/>
  <c r="AH140" i="26" s="1"/>
  <c r="O141" i="26"/>
  <c r="P141" i="26" s="1"/>
  <c r="Q141" i="26" s="1"/>
  <c r="AG144" i="26"/>
  <c r="AH144" i="26" s="1"/>
  <c r="O145" i="26"/>
  <c r="P145" i="26" s="1"/>
  <c r="Q145" i="26" s="1"/>
  <c r="AG148" i="26"/>
  <c r="AH148" i="26" s="1"/>
  <c r="O149" i="26"/>
  <c r="P149" i="26" s="1"/>
  <c r="Q149" i="26" s="1"/>
  <c r="BG191" i="26"/>
  <c r="AG138" i="26"/>
  <c r="O139" i="26"/>
  <c r="P139" i="26" s="1"/>
  <c r="Q139" i="26" s="1"/>
  <c r="AG142" i="26"/>
  <c r="AH142" i="26" s="1"/>
  <c r="O143" i="26"/>
  <c r="P143" i="26" s="1"/>
  <c r="Q143" i="26" s="1"/>
  <c r="AG146" i="26"/>
  <c r="AH146" i="26" s="1"/>
  <c r="O147" i="26"/>
  <c r="P147" i="26" s="1"/>
  <c r="Q147" i="26" s="1"/>
  <c r="AG153" i="25"/>
  <c r="AH153" i="25" s="1"/>
  <c r="AL153" i="25" s="1"/>
  <c r="AM153" i="25" s="1"/>
  <c r="AN153" i="25" s="1"/>
  <c r="AG155" i="25"/>
  <c r="AH155" i="25" s="1"/>
  <c r="AL155" i="25" s="1"/>
  <c r="AM155" i="25" s="1"/>
  <c r="AN155" i="25" s="1"/>
  <c r="O157" i="25"/>
  <c r="P157" i="25" s="1"/>
  <c r="Q157" i="25" s="1"/>
  <c r="AG156" i="25"/>
  <c r="AH156" i="25" s="1"/>
  <c r="O153" i="25"/>
  <c r="P153" i="25" s="1"/>
  <c r="Q153" i="25" s="1"/>
  <c r="AG152" i="25"/>
  <c r="AH152" i="25" s="1"/>
  <c r="O158" i="25"/>
  <c r="P158" i="25" s="1"/>
  <c r="Q158" i="25" s="1"/>
  <c r="AG157" i="25"/>
  <c r="AH157" i="25" s="1"/>
  <c r="O159" i="25"/>
  <c r="P159" i="25" s="1"/>
  <c r="Q159" i="25" s="1"/>
  <c r="AG158" i="25"/>
  <c r="AH158" i="25" s="1"/>
  <c r="O155" i="25"/>
  <c r="P155" i="25" s="1"/>
  <c r="Q155" i="25" s="1"/>
  <c r="AG154" i="25"/>
  <c r="AH154" i="25" s="1"/>
  <c r="O151" i="25"/>
  <c r="P151" i="25" s="1"/>
  <c r="Q151" i="25" s="1"/>
  <c r="AG150" i="25"/>
  <c r="AH150" i="25" s="1"/>
  <c r="AG151" i="25"/>
  <c r="AH151" i="25" s="1"/>
  <c r="O152" i="25"/>
  <c r="P152" i="25" s="1"/>
  <c r="Q152" i="25" s="1"/>
  <c r="Q156" i="25"/>
  <c r="BG187" i="25"/>
  <c r="BQ58" i="20"/>
  <c r="BI113" i="20"/>
  <c r="AG163" i="23"/>
  <c r="AH163" i="23" s="1"/>
  <c r="O160" i="23"/>
  <c r="P160" i="23" s="1"/>
  <c r="Q160" i="23" s="1"/>
  <c r="O161" i="23"/>
  <c r="P161" i="23" s="1"/>
  <c r="Q161" i="23" s="1"/>
  <c r="AG160" i="23"/>
  <c r="AH160" i="23" s="1"/>
  <c r="AG164" i="23"/>
  <c r="AH164" i="23" s="1"/>
  <c r="O162" i="23"/>
  <c r="P162" i="23" s="1"/>
  <c r="Q162" i="23" s="1"/>
  <c r="AG161" i="23"/>
  <c r="AH161" i="23" s="1"/>
  <c r="O158" i="23"/>
  <c r="P158" i="23" s="1"/>
  <c r="Q158" i="23" s="1"/>
  <c r="AG157" i="23"/>
  <c r="AH157" i="23" s="1"/>
  <c r="O154" i="23"/>
  <c r="P154" i="23" s="1"/>
  <c r="Q154" i="23" s="1"/>
  <c r="AG153" i="23"/>
  <c r="J153" i="23"/>
  <c r="P153" i="23" s="1"/>
  <c r="Q153" i="23" s="1"/>
  <c r="S153" i="23" s="1"/>
  <c r="T153" i="23" s="1"/>
  <c r="AG156" i="23"/>
  <c r="AH156" i="23" s="1"/>
  <c r="AG158" i="23"/>
  <c r="AH158" i="23" s="1"/>
  <c r="AG162" i="23"/>
  <c r="AH162" i="23" s="1"/>
  <c r="AG155" i="23"/>
  <c r="AH155" i="23" s="1"/>
  <c r="O157" i="23"/>
  <c r="P157" i="23" s="1"/>
  <c r="Q157" i="23" s="1"/>
  <c r="AG154" i="23"/>
  <c r="AH154" i="23" s="1"/>
  <c r="O156" i="23"/>
  <c r="P156" i="23" s="1"/>
  <c r="Q156" i="23" s="1"/>
  <c r="O159" i="23"/>
  <c r="P159" i="23" s="1"/>
  <c r="Q159" i="23" s="1"/>
  <c r="AG159" i="23"/>
  <c r="AH159" i="23" s="1"/>
  <c r="O163" i="23"/>
  <c r="P163" i="23" s="1"/>
  <c r="Q163" i="23" s="1"/>
  <c r="AQ164" i="23"/>
  <c r="BH187" i="23"/>
  <c r="BG183" i="3"/>
  <c r="BF184" i="3"/>
  <c r="BF185" i="3" s="1"/>
  <c r="BF186" i="3" s="1"/>
  <c r="BF187" i="3" s="1"/>
  <c r="BF188" i="3" s="1"/>
  <c r="BF189" i="3" s="1"/>
  <c r="BF190" i="3" s="1"/>
  <c r="BF191" i="3" s="1"/>
  <c r="BF192" i="3" s="1"/>
  <c r="BF193" i="3" s="1"/>
  <c r="BF194" i="3" s="1"/>
  <c r="BF195" i="3" s="1"/>
  <c r="BF196" i="3" s="1"/>
  <c r="BF197" i="3" s="1"/>
  <c r="BF198" i="3" s="1"/>
  <c r="BF199" i="3" s="1"/>
  <c r="BF200" i="3" s="1"/>
  <c r="BF201" i="3" s="1"/>
  <c r="BF202" i="3" s="1"/>
  <c r="BF203" i="3" s="1"/>
  <c r="BF204" i="3" s="1"/>
  <c r="BF205" i="3" s="1"/>
  <c r="BF206" i="3" s="1"/>
  <c r="BF207" i="3" s="1"/>
  <c r="BF208" i="3" s="1"/>
  <c r="BF209" i="3" s="1"/>
  <c r="BF210" i="3" s="1"/>
  <c r="BF211" i="3" s="1"/>
  <c r="BF212" i="3" s="1"/>
  <c r="BF213" i="3" s="1"/>
  <c r="BF214" i="3" s="1"/>
  <c r="BF215" i="3" s="1"/>
  <c r="BF216" i="3" s="1"/>
  <c r="BF217" i="3" s="1"/>
  <c r="BF218" i="3" s="1"/>
  <c r="BF219" i="3" s="1"/>
  <c r="CQ55" i="3"/>
  <c r="CO55" i="3"/>
  <c r="CM55" i="3"/>
  <c r="CK55" i="3"/>
  <c r="CI55" i="3"/>
  <c r="CG55" i="3"/>
  <c r="CE55" i="3"/>
  <c r="CC55" i="3"/>
  <c r="CN97" i="3"/>
  <c r="CN101" i="3" s="1"/>
  <c r="CL97" i="3"/>
  <c r="CL101" i="3" s="1"/>
  <c r="CF97" i="3"/>
  <c r="CF101" i="3" s="1"/>
  <c r="CD97" i="3"/>
  <c r="CD101" i="3" s="1"/>
  <c r="F2" i="3"/>
  <c r="J56" i="25" l="1"/>
  <c r="J50" i="25"/>
  <c r="L26" i="25"/>
  <c r="L44" i="25"/>
  <c r="J20" i="25"/>
  <c r="J38" i="25"/>
  <c r="L32" i="25"/>
  <c r="J56" i="26"/>
  <c r="L32" i="26"/>
  <c r="J20" i="26"/>
  <c r="J50" i="26"/>
  <c r="L26" i="26"/>
  <c r="L44" i="26"/>
  <c r="J38" i="26"/>
  <c r="J38" i="23"/>
  <c r="J50" i="23"/>
  <c r="L26" i="23"/>
  <c r="L44" i="23"/>
  <c r="J20" i="23"/>
  <c r="J56" i="23"/>
  <c r="L32" i="23"/>
  <c r="AW145" i="35"/>
  <c r="AY145" i="35" s="1"/>
  <c r="BA145" i="35" s="1"/>
  <c r="AW143" i="35"/>
  <c r="AY143" i="35" s="1"/>
  <c r="BA143" i="35" s="1"/>
  <c r="AX146" i="35"/>
  <c r="AZ146" i="35" s="1"/>
  <c r="BB146" i="35" s="1"/>
  <c r="AW141" i="35"/>
  <c r="AY141" i="35" s="1"/>
  <c r="BA141" i="35" s="1"/>
  <c r="AW142" i="35"/>
  <c r="AY142" i="35" s="1"/>
  <c r="BA142" i="35" s="1"/>
  <c r="AX151" i="35"/>
  <c r="AZ151" i="35" s="1"/>
  <c r="AB151" i="35" s="1"/>
  <c r="AW153" i="35"/>
  <c r="AY153" i="35" s="1"/>
  <c r="BA153" i="35" s="1"/>
  <c r="AX147" i="35"/>
  <c r="AZ147" i="35" s="1"/>
  <c r="BB147" i="35" s="1"/>
  <c r="AX149" i="35"/>
  <c r="AZ149" i="35" s="1"/>
  <c r="AB149" i="35" s="1"/>
  <c r="AX150" i="35"/>
  <c r="AZ150" i="35" s="1"/>
  <c r="BB150" i="35" s="1"/>
  <c r="AX157" i="35"/>
  <c r="AZ157" i="35" s="1"/>
  <c r="BC157" i="35" s="1"/>
  <c r="G157" i="35" s="1"/>
  <c r="AX144" i="35"/>
  <c r="AZ144" i="35" s="1"/>
  <c r="AB144" i="35" s="1"/>
  <c r="AX163" i="35"/>
  <c r="AZ163" i="35" s="1"/>
  <c r="BC163" i="35" s="1"/>
  <c r="G163" i="35" s="1"/>
  <c r="AW158" i="35"/>
  <c r="AY158" i="35" s="1"/>
  <c r="BA158" i="35" s="1"/>
  <c r="AU139" i="35"/>
  <c r="AX139" i="35" s="1"/>
  <c r="AZ139" i="35" s="1"/>
  <c r="BB139" i="35" s="1"/>
  <c r="AW162" i="35"/>
  <c r="AY162" i="35" s="1"/>
  <c r="BA162" i="35" s="1"/>
  <c r="AX152" i="35"/>
  <c r="AZ152" i="35" s="1"/>
  <c r="AB152" i="35" s="1"/>
  <c r="AW156" i="35"/>
  <c r="AY156" i="35" s="1"/>
  <c r="BA156" i="35" s="1"/>
  <c r="AW154" i="35"/>
  <c r="AY154" i="35" s="1"/>
  <c r="BA154" i="35" s="1"/>
  <c r="AW140" i="35"/>
  <c r="AY140" i="35" s="1"/>
  <c r="BA140" i="35" s="1"/>
  <c r="AW148" i="35"/>
  <c r="AY148" i="35" s="1"/>
  <c r="BA148" i="35" s="1"/>
  <c r="AW155" i="35"/>
  <c r="AY155" i="35" s="1"/>
  <c r="BA155" i="35" s="1"/>
  <c r="AW161" i="35"/>
  <c r="AY161" i="35" s="1"/>
  <c r="BA161" i="35" s="1"/>
  <c r="AX160" i="35"/>
  <c r="AZ160" i="35" s="1"/>
  <c r="BC160" i="35" s="1"/>
  <c r="G160" i="35" s="1"/>
  <c r="BB164" i="35"/>
  <c r="BC164" i="35"/>
  <c r="G164" i="35" s="1"/>
  <c r="AB164" i="35"/>
  <c r="AB162" i="35"/>
  <c r="BC162" i="35"/>
  <c r="G162" i="35" s="1"/>
  <c r="BB162" i="35"/>
  <c r="BB159" i="35"/>
  <c r="BC159" i="35"/>
  <c r="G159" i="35" s="1"/>
  <c r="AB159" i="35"/>
  <c r="BC161" i="35"/>
  <c r="G161" i="35" s="1"/>
  <c r="BB161" i="35"/>
  <c r="AB161" i="35"/>
  <c r="BB139" i="36"/>
  <c r="AB139" i="36"/>
  <c r="BH170" i="36"/>
  <c r="CZ30" i="36"/>
  <c r="L14" i="36" s="1"/>
  <c r="L54" i="36"/>
  <c r="CQ33" i="36"/>
  <c r="D5" i="36"/>
  <c r="J54" i="36"/>
  <c r="CB33" i="36"/>
  <c r="CB30" i="36"/>
  <c r="J14" i="36" s="1"/>
  <c r="BH171" i="36"/>
  <c r="BI171" i="36" s="1"/>
  <c r="BH172" i="36"/>
  <c r="BI172" i="36" s="1"/>
  <c r="BH173" i="36"/>
  <c r="BI173" i="36" s="1"/>
  <c r="BH174" i="36"/>
  <c r="BI174" i="36" s="1"/>
  <c r="BH175" i="36"/>
  <c r="BI175" i="36" s="1"/>
  <c r="BH176" i="36"/>
  <c r="BI176" i="36" s="1"/>
  <c r="BH177" i="36"/>
  <c r="BI177" i="36" s="1"/>
  <c r="BH178" i="36"/>
  <c r="BI178" i="36" s="1"/>
  <c r="BH179" i="36"/>
  <c r="BI179" i="36" s="1"/>
  <c r="BH180" i="36"/>
  <c r="BI180" i="36" s="1"/>
  <c r="BH181" i="36"/>
  <c r="BI181" i="36" s="1"/>
  <c r="BH182" i="36"/>
  <c r="BI182" i="36" s="1"/>
  <c r="BH183" i="36"/>
  <c r="BI183" i="36" s="1"/>
  <c r="BH184" i="36"/>
  <c r="BI184" i="36" s="1"/>
  <c r="BH185" i="36"/>
  <c r="BI185" i="36" s="1"/>
  <c r="BH186" i="36"/>
  <c r="BI186" i="36" s="1"/>
  <c r="BH187" i="36"/>
  <c r="BI187" i="36" s="1"/>
  <c r="BH188" i="36"/>
  <c r="BI188" i="36" s="1"/>
  <c r="BH189" i="36"/>
  <c r="BI189" i="36" s="1"/>
  <c r="BH190" i="36"/>
  <c r="BI190" i="36" s="1"/>
  <c r="BH191" i="36"/>
  <c r="BI191" i="36" s="1"/>
  <c r="BH195" i="36"/>
  <c r="BI195" i="36" s="1"/>
  <c r="BH196" i="36"/>
  <c r="BI196" i="36" s="1"/>
  <c r="BH197" i="36"/>
  <c r="BI197" i="36" s="1"/>
  <c r="BH198" i="36"/>
  <c r="BI198" i="36" s="1"/>
  <c r="BH199" i="36"/>
  <c r="BI199" i="36" s="1"/>
  <c r="BH200" i="36"/>
  <c r="BI200" i="36" s="1"/>
  <c r="BH201" i="36"/>
  <c r="BI201" i="36" s="1"/>
  <c r="BH202" i="36"/>
  <c r="BI202" i="36" s="1"/>
  <c r="BH203" i="36"/>
  <c r="BI203" i="36" s="1"/>
  <c r="BH204" i="36"/>
  <c r="BI204" i="36" s="1"/>
  <c r="BH205" i="36"/>
  <c r="BI205" i="36" s="1"/>
  <c r="BH206" i="36"/>
  <c r="BI206" i="36" s="1"/>
  <c r="BH207" i="36"/>
  <c r="BI207" i="36" s="1"/>
  <c r="BH208" i="36"/>
  <c r="BI208" i="36" s="1"/>
  <c r="BH209" i="36"/>
  <c r="BB154" i="35"/>
  <c r="AB154" i="35"/>
  <c r="BC154" i="35"/>
  <c r="G154" i="35" s="1"/>
  <c r="BB158" i="35"/>
  <c r="AB158" i="35"/>
  <c r="BC158" i="35"/>
  <c r="G158" i="35" s="1"/>
  <c r="BC156" i="35"/>
  <c r="G156" i="35" s="1"/>
  <c r="AB156" i="35"/>
  <c r="BB156" i="35"/>
  <c r="BC155" i="35"/>
  <c r="G155" i="35" s="1"/>
  <c r="BB155" i="35"/>
  <c r="AB155" i="35"/>
  <c r="BC153" i="35"/>
  <c r="G153" i="35" s="1"/>
  <c r="BB153" i="35"/>
  <c r="AB153" i="35"/>
  <c r="BB142" i="35"/>
  <c r="AB142" i="35"/>
  <c r="BC142" i="35"/>
  <c r="G142" i="35" s="1"/>
  <c r="AB145" i="35"/>
  <c r="BC145" i="35"/>
  <c r="G145" i="35" s="1"/>
  <c r="BB145" i="35"/>
  <c r="D3" i="35"/>
  <c r="D22" i="35"/>
  <c r="C3" i="35"/>
  <c r="C5" i="35"/>
  <c r="C22" i="35"/>
  <c r="BC148" i="35"/>
  <c r="G148" i="35" s="1"/>
  <c r="BB148" i="35"/>
  <c r="AB148" i="35"/>
  <c r="BC141" i="35"/>
  <c r="G141" i="35" s="1"/>
  <c r="AB141" i="35"/>
  <c r="BB141" i="35"/>
  <c r="BC140" i="35"/>
  <c r="G140" i="35" s="1"/>
  <c r="BB140" i="35"/>
  <c r="AB140" i="35"/>
  <c r="BC143" i="35"/>
  <c r="G143" i="35" s="1"/>
  <c r="BB143" i="35"/>
  <c r="AB143" i="35"/>
  <c r="BO56" i="25"/>
  <c r="L85" i="25"/>
  <c r="J48" i="25"/>
  <c r="L42" i="25"/>
  <c r="J48" i="26"/>
  <c r="L85" i="26"/>
  <c r="L42" i="26"/>
  <c r="J51" i="20"/>
  <c r="L45" i="20"/>
  <c r="BH128" i="20"/>
  <c r="BH129" i="20" s="1"/>
  <c r="BH130" i="20" s="1"/>
  <c r="BH131" i="20" s="1"/>
  <c r="BH132" i="20" s="1"/>
  <c r="BH133" i="20" s="1"/>
  <c r="BH134" i="20" s="1"/>
  <c r="BH135" i="20" s="1"/>
  <c r="BH136" i="20" s="1"/>
  <c r="BH137" i="20" s="1"/>
  <c r="BH138" i="20" s="1"/>
  <c r="BH139" i="20" s="1"/>
  <c r="BH140" i="20" s="1"/>
  <c r="BH141" i="20" s="1"/>
  <c r="BH142" i="20" s="1"/>
  <c r="BH143" i="20" s="1"/>
  <c r="BH144" i="20" s="1"/>
  <c r="BH145" i="20" s="1"/>
  <c r="BH146" i="20" s="1"/>
  <c r="BH147" i="20" s="1"/>
  <c r="BP56" i="23"/>
  <c r="J48" i="23"/>
  <c r="L85" i="23"/>
  <c r="L42" i="23"/>
  <c r="V150" i="25"/>
  <c r="AE150" i="25" s="1"/>
  <c r="R145" i="30"/>
  <c r="V144" i="30"/>
  <c r="AV171" i="30"/>
  <c r="S146" i="30"/>
  <c r="T145" i="30"/>
  <c r="AH143" i="30"/>
  <c r="V138" i="26"/>
  <c r="AE138" i="26" s="1"/>
  <c r="AI159" i="25"/>
  <c r="AJ159" i="25" s="1"/>
  <c r="AK159" i="25" s="1"/>
  <c r="AR159" i="25" s="1"/>
  <c r="AL147" i="26"/>
  <c r="AM147" i="26" s="1"/>
  <c r="AN147" i="26" s="1"/>
  <c r="AH147" i="26"/>
  <c r="AL143" i="26"/>
  <c r="AM143" i="26" s="1"/>
  <c r="AN143" i="26" s="1"/>
  <c r="AH143" i="26"/>
  <c r="AL141" i="26"/>
  <c r="AM141" i="26" s="1"/>
  <c r="AN141" i="26" s="1"/>
  <c r="AH141" i="26"/>
  <c r="AI147" i="26"/>
  <c r="AJ147" i="26" s="1"/>
  <c r="AK147" i="26" s="1"/>
  <c r="AI141" i="26"/>
  <c r="AJ141" i="26" s="1"/>
  <c r="AK141" i="26" s="1"/>
  <c r="AL159" i="23"/>
  <c r="AM159" i="23" s="1"/>
  <c r="AN159" i="23" s="1"/>
  <c r="AI159" i="23"/>
  <c r="AJ159" i="23" s="1"/>
  <c r="AK159" i="23" s="1"/>
  <c r="AL156" i="23"/>
  <c r="AM156" i="23" s="1"/>
  <c r="AN156" i="23" s="1"/>
  <c r="AI156" i="23"/>
  <c r="AJ156" i="23" s="1"/>
  <c r="AK156" i="23" s="1"/>
  <c r="AL164" i="23"/>
  <c r="AM164" i="23" s="1"/>
  <c r="AN164" i="23" s="1"/>
  <c r="AI164" i="23"/>
  <c r="AJ164" i="23" s="1"/>
  <c r="AK164" i="23" s="1"/>
  <c r="AI160" i="23"/>
  <c r="AJ160" i="23" s="1"/>
  <c r="AK160" i="23" s="1"/>
  <c r="AL160" i="23"/>
  <c r="AM160" i="23" s="1"/>
  <c r="AN160" i="23" s="1"/>
  <c r="AI162" i="23"/>
  <c r="AJ162" i="23" s="1"/>
  <c r="AK162" i="23" s="1"/>
  <c r="AL162" i="23"/>
  <c r="AM162" i="23" s="1"/>
  <c r="AN162" i="23" s="1"/>
  <c r="AL161" i="23"/>
  <c r="AM161" i="23" s="1"/>
  <c r="AN161" i="23" s="1"/>
  <c r="AI161" i="23"/>
  <c r="AJ161" i="23" s="1"/>
  <c r="AK161" i="23" s="1"/>
  <c r="AL157" i="23"/>
  <c r="AM157" i="23" s="1"/>
  <c r="AN157" i="23" s="1"/>
  <c r="AI157" i="23"/>
  <c r="AJ157" i="23" s="1"/>
  <c r="AK157" i="23" s="1"/>
  <c r="AL163" i="23"/>
  <c r="AM163" i="23" s="1"/>
  <c r="AN163" i="23" s="1"/>
  <c r="AI163" i="23"/>
  <c r="AJ163" i="23" s="1"/>
  <c r="AK163" i="23" s="1"/>
  <c r="AL155" i="23"/>
  <c r="AM155" i="23" s="1"/>
  <c r="AN155" i="23" s="1"/>
  <c r="AI155" i="23"/>
  <c r="AJ155" i="23" s="1"/>
  <c r="AK155" i="23" s="1"/>
  <c r="AI154" i="23"/>
  <c r="AJ154" i="23" s="1"/>
  <c r="AK154" i="23" s="1"/>
  <c r="AL154" i="23"/>
  <c r="AM154" i="23" s="1"/>
  <c r="AN154" i="23" s="1"/>
  <c r="AI158" i="23"/>
  <c r="AJ158" i="23" s="1"/>
  <c r="AK158" i="23" s="1"/>
  <c r="AL158" i="23"/>
  <c r="AM158" i="23" s="1"/>
  <c r="AN158" i="23" s="1"/>
  <c r="AI143" i="26"/>
  <c r="AJ143" i="26" s="1"/>
  <c r="AK143" i="26" s="1"/>
  <c r="AL145" i="26"/>
  <c r="AM145" i="26" s="1"/>
  <c r="AN145" i="26" s="1"/>
  <c r="AI145" i="26"/>
  <c r="AJ145" i="26" s="1"/>
  <c r="AK145" i="26" s="1"/>
  <c r="AL139" i="26"/>
  <c r="AM139" i="26" s="1"/>
  <c r="AN139" i="26" s="1"/>
  <c r="AI139" i="26"/>
  <c r="AJ139" i="26" s="1"/>
  <c r="AK139" i="26" s="1"/>
  <c r="AI148" i="26"/>
  <c r="AJ148" i="26" s="1"/>
  <c r="AK148" i="26" s="1"/>
  <c r="AL148" i="26"/>
  <c r="AM148" i="26" s="1"/>
  <c r="AN148" i="26" s="1"/>
  <c r="AI140" i="26"/>
  <c r="AJ140" i="26" s="1"/>
  <c r="AK140" i="26" s="1"/>
  <c r="AL140" i="26"/>
  <c r="AM140" i="26" s="1"/>
  <c r="AN140" i="26" s="1"/>
  <c r="AI142" i="26"/>
  <c r="AJ142" i="26" s="1"/>
  <c r="AK142" i="26" s="1"/>
  <c r="AL142" i="26"/>
  <c r="AM142" i="26" s="1"/>
  <c r="AN142" i="26" s="1"/>
  <c r="BG192" i="26"/>
  <c r="S139" i="26"/>
  <c r="AI144" i="26"/>
  <c r="AJ144" i="26" s="1"/>
  <c r="AK144" i="26" s="1"/>
  <c r="AL144" i="26"/>
  <c r="AM144" i="26" s="1"/>
  <c r="AN144" i="26" s="1"/>
  <c r="AL146" i="26"/>
  <c r="AM146" i="26" s="1"/>
  <c r="AN146" i="26" s="1"/>
  <c r="AI146" i="26"/>
  <c r="AJ146" i="26" s="1"/>
  <c r="AK146" i="26" s="1"/>
  <c r="AI138" i="26"/>
  <c r="AJ138" i="26" s="1"/>
  <c r="AK138" i="26" s="1"/>
  <c r="AL138" i="26"/>
  <c r="AM138" i="26" s="1"/>
  <c r="AN138" i="26" s="1"/>
  <c r="AH138" i="26"/>
  <c r="AI153" i="25"/>
  <c r="AJ153" i="25" s="1"/>
  <c r="AK153" i="25" s="1"/>
  <c r="AR153" i="25" s="1"/>
  <c r="AI155" i="25"/>
  <c r="AJ155" i="25" s="1"/>
  <c r="AK155" i="25" s="1"/>
  <c r="AR155" i="25" s="1"/>
  <c r="BG188" i="25"/>
  <c r="AI154" i="25"/>
  <c r="AJ154" i="25" s="1"/>
  <c r="AK154" i="25" s="1"/>
  <c r="AL154" i="25"/>
  <c r="AM154" i="25" s="1"/>
  <c r="AN154" i="25" s="1"/>
  <c r="AH162" i="25"/>
  <c r="AW167" i="25" s="1"/>
  <c r="AL150" i="25"/>
  <c r="AM150" i="25" s="1"/>
  <c r="AN150" i="25" s="1"/>
  <c r="AI150" i="25"/>
  <c r="AJ150" i="25" s="1"/>
  <c r="AK150" i="25" s="1"/>
  <c r="AI158" i="25"/>
  <c r="AJ158" i="25" s="1"/>
  <c r="AK158" i="25" s="1"/>
  <c r="AL158" i="25"/>
  <c r="AM158" i="25" s="1"/>
  <c r="AN158" i="25" s="1"/>
  <c r="S151" i="25"/>
  <c r="AL157" i="25"/>
  <c r="AM157" i="25" s="1"/>
  <c r="AN157" i="25" s="1"/>
  <c r="AI157" i="25"/>
  <c r="AJ157" i="25" s="1"/>
  <c r="AK157" i="25" s="1"/>
  <c r="AI152" i="25"/>
  <c r="AJ152" i="25" s="1"/>
  <c r="AK152" i="25" s="1"/>
  <c r="AL152" i="25"/>
  <c r="AM152" i="25" s="1"/>
  <c r="AN152" i="25" s="1"/>
  <c r="AL151" i="25"/>
  <c r="AM151" i="25" s="1"/>
  <c r="AN151" i="25" s="1"/>
  <c r="AI151" i="25"/>
  <c r="AJ151" i="25" s="1"/>
  <c r="AK151" i="25" s="1"/>
  <c r="AI156" i="25"/>
  <c r="AJ156" i="25" s="1"/>
  <c r="AK156" i="25" s="1"/>
  <c r="AL156" i="25"/>
  <c r="AM156" i="25" s="1"/>
  <c r="AN156" i="25" s="1"/>
  <c r="BI114" i="20"/>
  <c r="BH188" i="23"/>
  <c r="AH153" i="23"/>
  <c r="V153" i="23"/>
  <c r="R154" i="23"/>
  <c r="S154" i="23" s="1"/>
  <c r="BG184" i="3"/>
  <c r="BG185" i="3" s="1"/>
  <c r="C7" i="3"/>
  <c r="BM56" i="36" l="1"/>
  <c r="BN56" i="36" s="1"/>
  <c r="BC151" i="35"/>
  <c r="G151" i="35" s="1"/>
  <c r="BC147" i="35"/>
  <c r="G147" i="35" s="1"/>
  <c r="BC144" i="35"/>
  <c r="G144" i="35" s="1"/>
  <c r="AB157" i="35"/>
  <c r="BC146" i="35"/>
  <c r="G146" i="35" s="1"/>
  <c r="BB157" i="35"/>
  <c r="AB146" i="35"/>
  <c r="BB151" i="35"/>
  <c r="AW139" i="35"/>
  <c r="AY139" i="35" s="1"/>
  <c r="BA139" i="35" s="1"/>
  <c r="BM84" i="35" s="1"/>
  <c r="AB147" i="35"/>
  <c r="BC150" i="35"/>
  <c r="G150" i="35" s="1"/>
  <c r="BB149" i="35"/>
  <c r="BC149" i="35"/>
  <c r="G149" i="35" s="1"/>
  <c r="AB150" i="35"/>
  <c r="BB144" i="35"/>
  <c r="BB163" i="35"/>
  <c r="AB163" i="35"/>
  <c r="BC152" i="35"/>
  <c r="G152" i="35" s="1"/>
  <c r="BB152" i="35"/>
  <c r="BB160" i="35"/>
  <c r="AB160" i="35"/>
  <c r="AS150" i="25"/>
  <c r="K12" i="36"/>
  <c r="L12" i="36"/>
  <c r="BI170" i="36"/>
  <c r="BL139" i="36"/>
  <c r="BI209" i="36"/>
  <c r="DD139" i="36"/>
  <c r="BM29" i="36"/>
  <c r="BN29" i="36" s="1"/>
  <c r="J12" i="36"/>
  <c r="J55" i="36"/>
  <c r="CO27" i="36"/>
  <c r="BQ27" i="36"/>
  <c r="J8" i="36" s="1"/>
  <c r="BM32" i="36"/>
  <c r="BN32" i="36" s="1"/>
  <c r="BO33" i="36"/>
  <c r="L55" i="36"/>
  <c r="BH181" i="35"/>
  <c r="CQ61" i="35"/>
  <c r="L54" i="35"/>
  <c r="J54" i="35"/>
  <c r="D5" i="35"/>
  <c r="CZ58" i="35"/>
  <c r="L14" i="35" s="1"/>
  <c r="CB58" i="35"/>
  <c r="J14" i="35" s="1"/>
  <c r="CB61" i="35"/>
  <c r="BH182" i="35"/>
  <c r="BI182" i="35" s="1"/>
  <c r="BH183" i="35"/>
  <c r="BI183" i="35" s="1"/>
  <c r="BH184" i="35"/>
  <c r="BI184" i="35" s="1"/>
  <c r="BH185" i="35"/>
  <c r="BI185" i="35" s="1"/>
  <c r="BH186" i="35"/>
  <c r="BI186" i="35" s="1"/>
  <c r="BH187" i="35"/>
  <c r="BI187" i="35" s="1"/>
  <c r="BH188" i="35"/>
  <c r="BI188" i="35" s="1"/>
  <c r="BH189" i="35"/>
  <c r="BI189" i="35" s="1"/>
  <c r="BH190" i="35"/>
  <c r="BI190" i="35" s="1"/>
  <c r="BH191" i="35"/>
  <c r="BI191" i="35" s="1"/>
  <c r="BH192" i="35"/>
  <c r="BI192" i="35" s="1"/>
  <c r="BH193" i="35"/>
  <c r="BI193" i="35" s="1"/>
  <c r="BH194" i="35"/>
  <c r="BI194" i="35" s="1"/>
  <c r="BH195" i="35"/>
  <c r="BI195" i="35" s="1"/>
  <c r="BH196" i="35"/>
  <c r="BI196" i="35" s="1"/>
  <c r="BH197" i="35"/>
  <c r="BI197" i="35" s="1"/>
  <c r="BH198" i="35"/>
  <c r="BI198" i="35" s="1"/>
  <c r="BH199" i="35"/>
  <c r="BI199" i="35" s="1"/>
  <c r="BH200" i="35"/>
  <c r="BI200" i="35" s="1"/>
  <c r="BH201" i="35"/>
  <c r="BI201" i="35" s="1"/>
  <c r="BH202" i="35"/>
  <c r="BI202" i="35" s="1"/>
  <c r="BH203" i="35"/>
  <c r="BI203" i="35" s="1"/>
  <c r="BH204" i="35"/>
  <c r="BI204" i="35" s="1"/>
  <c r="BH205" i="35"/>
  <c r="BI205" i="35" s="1"/>
  <c r="BH206" i="35"/>
  <c r="BI206" i="35" s="1"/>
  <c r="BH207" i="35"/>
  <c r="BI207" i="35" s="1"/>
  <c r="BH208" i="35"/>
  <c r="BI208" i="35" s="1"/>
  <c r="BH209" i="35"/>
  <c r="BI209" i="35" s="1"/>
  <c r="BH210" i="35"/>
  <c r="BI210" i="35" s="1"/>
  <c r="BH211" i="35"/>
  <c r="BI211" i="35" s="1"/>
  <c r="BH212" i="35"/>
  <c r="BI212" i="35" s="1"/>
  <c r="BH213" i="35"/>
  <c r="BI213" i="35" s="1"/>
  <c r="BH214" i="35"/>
  <c r="BI214" i="35" s="1"/>
  <c r="BH215" i="35"/>
  <c r="BI215" i="35" s="1"/>
  <c r="BH216" i="35"/>
  <c r="BI216" i="35" s="1"/>
  <c r="BH217" i="35"/>
  <c r="AB139" i="35"/>
  <c r="L43" i="25"/>
  <c r="J49" i="25"/>
  <c r="L43" i="26"/>
  <c r="J49" i="26"/>
  <c r="L43" i="23"/>
  <c r="J49" i="23"/>
  <c r="AV172" i="30"/>
  <c r="R146" i="30"/>
  <c r="V145" i="30"/>
  <c r="AH144" i="30"/>
  <c r="S147" i="30"/>
  <c r="T146" i="30"/>
  <c r="AR138" i="26"/>
  <c r="C8" i="26" s="1"/>
  <c r="AH150" i="26"/>
  <c r="AW153" i="26" s="1"/>
  <c r="AR143" i="26"/>
  <c r="AR141" i="26"/>
  <c r="AR147" i="26"/>
  <c r="AH165" i="23"/>
  <c r="AL153" i="23"/>
  <c r="AM153" i="23" s="1"/>
  <c r="AN153" i="23" s="1"/>
  <c r="AS153" i="23" s="1"/>
  <c r="AI153" i="23"/>
  <c r="AJ153" i="23" s="1"/>
  <c r="AK153" i="23" s="1"/>
  <c r="AR145" i="26"/>
  <c r="AR139" i="26"/>
  <c r="S140" i="26"/>
  <c r="T139" i="26"/>
  <c r="AS138" i="26"/>
  <c r="AR148" i="26"/>
  <c r="BG193" i="26"/>
  <c r="AR146" i="26"/>
  <c r="AR144" i="26"/>
  <c r="AR142" i="26"/>
  <c r="AR140" i="26"/>
  <c r="AR158" i="25"/>
  <c r="AR151" i="25"/>
  <c r="AR157" i="25"/>
  <c r="AR152" i="25"/>
  <c r="AR150" i="25"/>
  <c r="C173" i="25"/>
  <c r="X150" i="25"/>
  <c r="Z150" i="25" s="1"/>
  <c r="AR156" i="25"/>
  <c r="S152" i="25"/>
  <c r="T151" i="25"/>
  <c r="AR154" i="25"/>
  <c r="BG189" i="25"/>
  <c r="BI115" i="20"/>
  <c r="AR161" i="23"/>
  <c r="AR154" i="23"/>
  <c r="AR162" i="23"/>
  <c r="AR163" i="23"/>
  <c r="AR156" i="23"/>
  <c r="T154" i="23"/>
  <c r="S155" i="23"/>
  <c r="AR157" i="23"/>
  <c r="AR160" i="23"/>
  <c r="AE153" i="23"/>
  <c r="AR158" i="23"/>
  <c r="AR164" i="23"/>
  <c r="AR155" i="23"/>
  <c r="AR159" i="23"/>
  <c r="BH189" i="23"/>
  <c r="BQ25" i="3"/>
  <c r="BG186" i="3"/>
  <c r="C159" i="26" l="1"/>
  <c r="O164" i="26" s="1"/>
  <c r="P164" i="26" s="1"/>
  <c r="Q164" i="26" s="1"/>
  <c r="BM33" i="36"/>
  <c r="BN33" i="36" s="1"/>
  <c r="J56" i="3"/>
  <c r="L32" i="3"/>
  <c r="J50" i="3"/>
  <c r="L26" i="3"/>
  <c r="L44" i="3"/>
  <c r="J20" i="3"/>
  <c r="J38" i="3"/>
  <c r="L6" i="36"/>
  <c r="L7" i="36" s="1"/>
  <c r="L8" i="36"/>
  <c r="BN84" i="35"/>
  <c r="BJ170" i="36"/>
  <c r="BM26" i="36"/>
  <c r="BN26" i="36" s="1"/>
  <c r="J6" i="36"/>
  <c r="K6" i="36"/>
  <c r="J13" i="36"/>
  <c r="D132" i="36"/>
  <c r="D130" i="36"/>
  <c r="H23" i="36"/>
  <c r="H16" i="36"/>
  <c r="D131" i="36"/>
  <c r="D133" i="36"/>
  <c r="L13" i="36"/>
  <c r="M126" i="36"/>
  <c r="K13" i="36"/>
  <c r="J12" i="35"/>
  <c r="BM57" i="35"/>
  <c r="BN57" i="35" s="1"/>
  <c r="L55" i="35"/>
  <c r="J55" i="35"/>
  <c r="L12" i="35"/>
  <c r="K12" i="35"/>
  <c r="BI217" i="35"/>
  <c r="DD139" i="35"/>
  <c r="BO61" i="35"/>
  <c r="BM60" i="35"/>
  <c r="BN60" i="35" s="1"/>
  <c r="CO55" i="35"/>
  <c r="BQ55" i="35"/>
  <c r="J8" i="35" s="1"/>
  <c r="BI181" i="35"/>
  <c r="BL138" i="35"/>
  <c r="BO56" i="3"/>
  <c r="J48" i="3"/>
  <c r="L42" i="3"/>
  <c r="L85" i="3"/>
  <c r="AL171" i="23"/>
  <c r="AM171" i="23" s="1"/>
  <c r="AN171" i="23" s="1"/>
  <c r="AL168" i="23"/>
  <c r="AM168" i="23" s="1"/>
  <c r="AN168" i="23" s="1"/>
  <c r="X153" i="23"/>
  <c r="Z153" i="23" s="1"/>
  <c r="S148" i="30"/>
  <c r="T147" i="30"/>
  <c r="AH145" i="30"/>
  <c r="AV173" i="30"/>
  <c r="R147" i="30"/>
  <c r="V146" i="30"/>
  <c r="C177" i="23"/>
  <c r="X138" i="26"/>
  <c r="Z138" i="26" s="1"/>
  <c r="R140" i="26"/>
  <c r="V139" i="26"/>
  <c r="AR153" i="23"/>
  <c r="C8" i="23" s="1"/>
  <c r="T140" i="26"/>
  <c r="S141" i="26"/>
  <c r="BG194" i="26"/>
  <c r="O162" i="26"/>
  <c r="P162" i="26" s="1"/>
  <c r="Q162" i="26" s="1"/>
  <c r="O160" i="26"/>
  <c r="P160" i="26" s="1"/>
  <c r="Q160" i="26" s="1"/>
  <c r="AG160" i="26"/>
  <c r="O161" i="26"/>
  <c r="P161" i="26" s="1"/>
  <c r="Q161" i="26" s="1"/>
  <c r="S153" i="25"/>
  <c r="T152" i="25"/>
  <c r="BG190" i="25"/>
  <c r="O177" i="25"/>
  <c r="P177" i="25" s="1"/>
  <c r="Q177" i="25" s="1"/>
  <c r="O178" i="25"/>
  <c r="P178" i="25" s="1"/>
  <c r="Q178" i="25" s="1"/>
  <c r="AG176" i="25"/>
  <c r="AG175" i="25"/>
  <c r="AG174" i="25"/>
  <c r="AG173" i="25"/>
  <c r="O173" i="25"/>
  <c r="P173" i="25" s="1"/>
  <c r="AG177" i="25"/>
  <c r="O176" i="25"/>
  <c r="P176" i="25" s="1"/>
  <c r="Q176" i="25" s="1"/>
  <c r="AG178" i="25"/>
  <c r="O175" i="25"/>
  <c r="P175" i="25" s="1"/>
  <c r="Q175" i="25" s="1"/>
  <c r="O174" i="25"/>
  <c r="P174" i="25" s="1"/>
  <c r="Q174" i="25" s="1"/>
  <c r="J173" i="25"/>
  <c r="K173" i="25" s="1"/>
  <c r="L173" i="25" s="1"/>
  <c r="M173" i="25" s="1"/>
  <c r="N173" i="25" s="1"/>
  <c r="R152" i="25"/>
  <c r="V151" i="25"/>
  <c r="C8" i="25"/>
  <c r="BI116" i="20"/>
  <c r="R155" i="23"/>
  <c r="V154" i="23"/>
  <c r="T155" i="23"/>
  <c r="S156" i="23"/>
  <c r="BH190" i="23"/>
  <c r="BG187" i="3"/>
  <c r="BG49" i="1"/>
  <c r="BT123" i="1"/>
  <c r="BT125" i="1" s="1"/>
  <c r="CG79" i="1"/>
  <c r="CE79" i="1"/>
  <c r="CC79" i="1"/>
  <c r="CA79" i="1"/>
  <c r="BY79" i="1"/>
  <c r="BW79" i="1"/>
  <c r="BU79" i="1"/>
  <c r="BS79" i="1"/>
  <c r="O159" i="26" l="1"/>
  <c r="P159" i="26" s="1"/>
  <c r="AG162" i="26"/>
  <c r="AG163" i="26"/>
  <c r="AI163" i="26" s="1"/>
  <c r="AJ163" i="26" s="1"/>
  <c r="AK163" i="26" s="1"/>
  <c r="AG161" i="26"/>
  <c r="AI161" i="26" s="1"/>
  <c r="AJ161" i="26" s="1"/>
  <c r="AK161" i="26" s="1"/>
  <c r="O163" i="26"/>
  <c r="P163" i="26" s="1"/>
  <c r="Q163" i="26" s="1"/>
  <c r="AG159" i="26"/>
  <c r="AI159" i="26" s="1"/>
  <c r="AJ159" i="26" s="1"/>
  <c r="AK159" i="26" s="1"/>
  <c r="J159" i="26"/>
  <c r="K159" i="26" s="1"/>
  <c r="L159" i="26" s="1"/>
  <c r="M159" i="26" s="1"/>
  <c r="N159" i="26" s="1"/>
  <c r="Q159" i="26" s="1"/>
  <c r="S159" i="26" s="1"/>
  <c r="T159" i="26" s="1"/>
  <c r="R160" i="26" s="1"/>
  <c r="S160" i="26" s="1"/>
  <c r="AG164" i="26"/>
  <c r="AL164" i="26" s="1"/>
  <c r="AM164" i="26" s="1"/>
  <c r="AN164" i="26" s="1"/>
  <c r="BM61" i="35"/>
  <c r="BN61" i="35" s="1"/>
  <c r="L6" i="35"/>
  <c r="L7" i="35" s="1"/>
  <c r="L8" i="35"/>
  <c r="L44" i="1"/>
  <c r="J20" i="1"/>
  <c r="J38" i="1"/>
  <c r="J56" i="1"/>
  <c r="L32" i="1"/>
  <c r="J50" i="1"/>
  <c r="L26" i="1"/>
  <c r="AG194" i="23"/>
  <c r="AI194" i="23" s="1"/>
  <c r="AJ194" i="23" s="1"/>
  <c r="AK194" i="23" s="1"/>
  <c r="AG195" i="23"/>
  <c r="AG200" i="23"/>
  <c r="O199" i="23"/>
  <c r="P199" i="23" s="1"/>
  <c r="Q199" i="23" s="1"/>
  <c r="O198" i="23"/>
  <c r="P198" i="23" s="1"/>
  <c r="Q198" i="23" s="1"/>
  <c r="AG199" i="23"/>
  <c r="AG202" i="23"/>
  <c r="AG198" i="23"/>
  <c r="O201" i="23"/>
  <c r="P201" i="23" s="1"/>
  <c r="Q201" i="23" s="1"/>
  <c r="O197" i="23"/>
  <c r="P197" i="23" s="1"/>
  <c r="Q197" i="23" s="1"/>
  <c r="O202" i="23"/>
  <c r="P202" i="23" s="1"/>
  <c r="Q202" i="23" s="1"/>
  <c r="AG201" i="23"/>
  <c r="AG197" i="23"/>
  <c r="O200" i="23"/>
  <c r="P200" i="23" s="1"/>
  <c r="Q200" i="23" s="1"/>
  <c r="J36" i="36"/>
  <c r="J18" i="36"/>
  <c r="K18" i="36"/>
  <c r="K36" i="36"/>
  <c r="L30" i="36"/>
  <c r="L24" i="36"/>
  <c r="K24" i="36"/>
  <c r="K30" i="36"/>
  <c r="BO30" i="36"/>
  <c r="BJ171" i="36"/>
  <c r="BK170" i="36"/>
  <c r="BQ57" i="36" s="1"/>
  <c r="BQ58" i="36" s="1"/>
  <c r="BQ60" i="36" s="1"/>
  <c r="K7" i="36"/>
  <c r="J7" i="36"/>
  <c r="BJ181" i="35"/>
  <c r="BJ182" i="35" s="1"/>
  <c r="L13" i="35"/>
  <c r="D131" i="35"/>
  <c r="H23" i="35"/>
  <c r="H16" i="35"/>
  <c r="D129" i="35"/>
  <c r="K13" i="35"/>
  <c r="BM54" i="35"/>
  <c r="BN54" i="35" s="1"/>
  <c r="K6" i="35"/>
  <c r="J6" i="35"/>
  <c r="D130" i="35"/>
  <c r="D132" i="35"/>
  <c r="M126" i="35"/>
  <c r="J13" i="35"/>
  <c r="AL173" i="25"/>
  <c r="AM173" i="25" s="1"/>
  <c r="AN173" i="25" s="1"/>
  <c r="AI173" i="25"/>
  <c r="AJ173" i="25" s="1"/>
  <c r="AK173" i="25" s="1"/>
  <c r="AL174" i="25"/>
  <c r="AM174" i="25" s="1"/>
  <c r="AN174" i="25" s="1"/>
  <c r="AI174" i="25"/>
  <c r="AJ174" i="25" s="1"/>
  <c r="AK174" i="25" s="1"/>
  <c r="AL175" i="25"/>
  <c r="AM175" i="25" s="1"/>
  <c r="AN175" i="25" s="1"/>
  <c r="AI175" i="25"/>
  <c r="AJ175" i="25" s="1"/>
  <c r="AK175" i="25" s="1"/>
  <c r="AL178" i="25"/>
  <c r="AM178" i="25" s="1"/>
  <c r="AN178" i="25" s="1"/>
  <c r="AI178" i="25"/>
  <c r="AJ178" i="25" s="1"/>
  <c r="AK178" i="25" s="1"/>
  <c r="AL177" i="25"/>
  <c r="AM177" i="25" s="1"/>
  <c r="AN177" i="25" s="1"/>
  <c r="AI177" i="25"/>
  <c r="AJ177" i="25" s="1"/>
  <c r="AK177" i="25" s="1"/>
  <c r="AL176" i="25"/>
  <c r="AM176" i="25" s="1"/>
  <c r="AN176" i="25" s="1"/>
  <c r="AI176" i="25"/>
  <c r="AJ176" i="25" s="1"/>
  <c r="AK176" i="25" s="1"/>
  <c r="AL160" i="26"/>
  <c r="AM160" i="26" s="1"/>
  <c r="AN160" i="26" s="1"/>
  <c r="AI160" i="26"/>
  <c r="AJ160" i="26" s="1"/>
  <c r="AK160" i="26" s="1"/>
  <c r="AL162" i="26"/>
  <c r="AM162" i="26" s="1"/>
  <c r="AN162" i="26" s="1"/>
  <c r="AI162" i="26"/>
  <c r="AJ162" i="26" s="1"/>
  <c r="AK162" i="26" s="1"/>
  <c r="L43" i="3"/>
  <c r="J49" i="3"/>
  <c r="BE80" i="1"/>
  <c r="L85" i="1"/>
  <c r="L42" i="1"/>
  <c r="L43" i="1" s="1"/>
  <c r="J48" i="1"/>
  <c r="AO171" i="23"/>
  <c r="AH146" i="30"/>
  <c r="R148" i="30"/>
  <c r="V147" i="30"/>
  <c r="S149" i="30"/>
  <c r="T148" i="30"/>
  <c r="AV174" i="30"/>
  <c r="O183" i="23"/>
  <c r="P183" i="23" s="1"/>
  <c r="Q183" i="23" s="1"/>
  <c r="O192" i="23"/>
  <c r="P192" i="23" s="1"/>
  <c r="Q192" i="23" s="1"/>
  <c r="AG180" i="23"/>
  <c r="AG183" i="23"/>
  <c r="AG181" i="23"/>
  <c r="AG177" i="23"/>
  <c r="O194" i="23"/>
  <c r="P194" i="23" s="1"/>
  <c r="Q194" i="23" s="1"/>
  <c r="O182" i="23"/>
  <c r="P182" i="23" s="1"/>
  <c r="Q182" i="23" s="1"/>
  <c r="AG191" i="23"/>
  <c r="AG196" i="23"/>
  <c r="J177" i="23"/>
  <c r="K177" i="23" s="1"/>
  <c r="L177" i="23" s="1"/>
  <c r="M177" i="23" s="1"/>
  <c r="N177" i="23" s="1"/>
  <c r="O181" i="23"/>
  <c r="P181" i="23" s="1"/>
  <c r="Q181" i="23" s="1"/>
  <c r="AG186" i="23"/>
  <c r="O190" i="23"/>
  <c r="P190" i="23" s="1"/>
  <c r="Q190" i="23" s="1"/>
  <c r="O193" i="23"/>
  <c r="P193" i="23" s="1"/>
  <c r="Q193" i="23" s="1"/>
  <c r="O177" i="23"/>
  <c r="P177" i="23" s="1"/>
  <c r="AG184" i="23"/>
  <c r="AG187" i="23"/>
  <c r="AG193" i="23"/>
  <c r="O195" i="23"/>
  <c r="P195" i="23" s="1"/>
  <c r="Q195" i="23" s="1"/>
  <c r="AG178" i="23"/>
  <c r="O178" i="23"/>
  <c r="P178" i="23" s="1"/>
  <c r="Q178" i="23" s="1"/>
  <c r="O179" i="23"/>
  <c r="P179" i="23" s="1"/>
  <c r="Q179" i="23" s="1"/>
  <c r="O187" i="23"/>
  <c r="P187" i="23" s="1"/>
  <c r="Q187" i="23" s="1"/>
  <c r="O185" i="23"/>
  <c r="P185" i="23" s="1"/>
  <c r="Q185" i="23" s="1"/>
  <c r="O189" i="23"/>
  <c r="P189" i="23" s="1"/>
  <c r="Q189" i="23" s="1"/>
  <c r="O186" i="23"/>
  <c r="P186" i="23" s="1"/>
  <c r="Q186" i="23" s="1"/>
  <c r="AG188" i="23"/>
  <c r="O196" i="23"/>
  <c r="P196" i="23" s="1"/>
  <c r="Q196" i="23" s="1"/>
  <c r="AG192" i="23"/>
  <c r="AG182" i="23"/>
  <c r="O184" i="23"/>
  <c r="P184" i="23" s="1"/>
  <c r="Q184" i="23" s="1"/>
  <c r="O180" i="23"/>
  <c r="P180" i="23" s="1"/>
  <c r="Q180" i="23" s="1"/>
  <c r="AG179" i="23"/>
  <c r="AG185" i="23"/>
  <c r="AG189" i="23"/>
  <c r="O188" i="23"/>
  <c r="P188" i="23" s="1"/>
  <c r="Q188" i="23" s="1"/>
  <c r="AG190" i="23"/>
  <c r="O191" i="23"/>
  <c r="P191" i="23" s="1"/>
  <c r="Q191" i="23" s="1"/>
  <c r="AE139" i="26"/>
  <c r="AS139" i="26"/>
  <c r="R141" i="26"/>
  <c r="V140" i="26"/>
  <c r="S142" i="26"/>
  <c r="T141" i="26"/>
  <c r="BG195" i="26"/>
  <c r="Q173" i="25"/>
  <c r="S173" i="25" s="1"/>
  <c r="T173" i="25" s="1"/>
  <c r="V152" i="25"/>
  <c r="R153" i="25"/>
  <c r="BG191" i="25"/>
  <c r="AS151" i="25"/>
  <c r="AE151" i="25"/>
  <c r="S154" i="25"/>
  <c r="T153" i="25"/>
  <c r="BI117" i="20"/>
  <c r="AE154" i="23"/>
  <c r="AS154" i="23"/>
  <c r="R156" i="23"/>
  <c r="V155" i="23"/>
  <c r="BH191" i="23"/>
  <c r="T156" i="23"/>
  <c r="S157" i="23"/>
  <c r="BG188" i="3"/>
  <c r="AV163" i="1"/>
  <c r="AV164" i="1" s="1"/>
  <c r="AV165" i="1" s="1"/>
  <c r="AV166" i="1" s="1"/>
  <c r="AV167" i="1" s="1"/>
  <c r="AV168" i="1" s="1"/>
  <c r="AV169" i="1" s="1"/>
  <c r="AV170" i="1" s="1"/>
  <c r="AV171" i="1" s="1"/>
  <c r="AV172" i="1" s="1"/>
  <c r="AV173" i="1" s="1"/>
  <c r="AV174" i="1" s="1"/>
  <c r="AV175" i="1" s="1"/>
  <c r="AV176" i="1" s="1"/>
  <c r="AV177" i="1" s="1"/>
  <c r="AV178" i="1" s="1"/>
  <c r="AV179" i="1" s="1"/>
  <c r="AV180" i="1" s="1"/>
  <c r="AV181" i="1" s="1"/>
  <c r="AV182" i="1" s="1"/>
  <c r="AV183" i="1" s="1"/>
  <c r="AV184" i="1" s="1"/>
  <c r="AV185" i="1" s="1"/>
  <c r="AV186" i="1" s="1"/>
  <c r="AV187" i="1" s="1"/>
  <c r="AV188" i="1" s="1"/>
  <c r="AV189" i="1" s="1"/>
  <c r="AV190" i="1" s="1"/>
  <c r="AV191" i="1" s="1"/>
  <c r="AV192" i="1" s="1"/>
  <c r="AV193" i="1" s="1"/>
  <c r="AV194" i="1" s="1"/>
  <c r="AV195" i="1" s="1"/>
  <c r="AV196" i="1" s="1"/>
  <c r="AV197" i="1" s="1"/>
  <c r="AV198" i="1" s="1"/>
  <c r="AI164" i="26" l="1"/>
  <c r="AJ164" i="26" s="1"/>
  <c r="AK164" i="26" s="1"/>
  <c r="AL161" i="26"/>
  <c r="AM161" i="26" s="1"/>
  <c r="AN161" i="26" s="1"/>
  <c r="AL163" i="26"/>
  <c r="AM163" i="26" s="1"/>
  <c r="AN163" i="26" s="1"/>
  <c r="AR163" i="26" s="1"/>
  <c r="AL159" i="26"/>
  <c r="AM159" i="26" s="1"/>
  <c r="AN159" i="26" s="1"/>
  <c r="AR159" i="26" s="1"/>
  <c r="BM30" i="36"/>
  <c r="BN30" i="36" s="1"/>
  <c r="AL194" i="23"/>
  <c r="AM194" i="23" s="1"/>
  <c r="AN194" i="23" s="1"/>
  <c r="AR194" i="23" s="1"/>
  <c r="AL201" i="23"/>
  <c r="AM201" i="23" s="1"/>
  <c r="AN201" i="23" s="1"/>
  <c r="AI201" i="23"/>
  <c r="AJ201" i="23" s="1"/>
  <c r="AK201" i="23" s="1"/>
  <c r="AI198" i="23"/>
  <c r="AJ198" i="23" s="1"/>
  <c r="AK198" i="23" s="1"/>
  <c r="AL198" i="23"/>
  <c r="AM198" i="23" s="1"/>
  <c r="AN198" i="23" s="1"/>
  <c r="AI177" i="23"/>
  <c r="AJ177" i="23" s="1"/>
  <c r="AK177" i="23" s="1"/>
  <c r="AL177" i="23"/>
  <c r="AM177" i="23" s="1"/>
  <c r="AI202" i="23"/>
  <c r="AJ202" i="23" s="1"/>
  <c r="AK202" i="23" s="1"/>
  <c r="AL202" i="23"/>
  <c r="AM202" i="23" s="1"/>
  <c r="AN202" i="23" s="1"/>
  <c r="AL200" i="23"/>
  <c r="AM200" i="23" s="1"/>
  <c r="AN200" i="23" s="1"/>
  <c r="AI200" i="23"/>
  <c r="AJ200" i="23" s="1"/>
  <c r="AK200" i="23" s="1"/>
  <c r="AI199" i="23"/>
  <c r="AJ199" i="23" s="1"/>
  <c r="AK199" i="23" s="1"/>
  <c r="AL199" i="23"/>
  <c r="AM199" i="23" s="1"/>
  <c r="AN199" i="23" s="1"/>
  <c r="AL197" i="23"/>
  <c r="AM197" i="23" s="1"/>
  <c r="AN197" i="23" s="1"/>
  <c r="AI197" i="23"/>
  <c r="AJ197" i="23" s="1"/>
  <c r="AK197" i="23" s="1"/>
  <c r="K25" i="36"/>
  <c r="K19" i="36"/>
  <c r="K37" i="36"/>
  <c r="BO27" i="36"/>
  <c r="BJ172" i="36"/>
  <c r="BK171" i="36"/>
  <c r="BR57" i="36" s="1"/>
  <c r="L25" i="36"/>
  <c r="J19" i="36"/>
  <c r="K31" i="36"/>
  <c r="L31" i="36"/>
  <c r="J37" i="36"/>
  <c r="BK181" i="35"/>
  <c r="BQ85" i="35" s="1"/>
  <c r="BQ86" i="35" s="1"/>
  <c r="BQ88" i="35" s="1"/>
  <c r="J7" i="35"/>
  <c r="L30" i="35"/>
  <c r="K30" i="35"/>
  <c r="L24" i="35"/>
  <c r="K24" i="35"/>
  <c r="BJ183" i="35"/>
  <c r="BK182" i="35"/>
  <c r="BR85" i="35" s="1"/>
  <c r="K7" i="35"/>
  <c r="BO58" i="35"/>
  <c r="J18" i="35"/>
  <c r="K36" i="35"/>
  <c r="J36" i="35"/>
  <c r="K18" i="35"/>
  <c r="AI178" i="23"/>
  <c r="AJ178" i="23" s="1"/>
  <c r="AK178" i="23" s="1"/>
  <c r="AL178" i="23"/>
  <c r="AM178" i="23" s="1"/>
  <c r="AI184" i="23"/>
  <c r="AJ184" i="23" s="1"/>
  <c r="AK184" i="23" s="1"/>
  <c r="AL184" i="23"/>
  <c r="AM184" i="23" s="1"/>
  <c r="AL181" i="23"/>
  <c r="AM181" i="23" s="1"/>
  <c r="AN181" i="23" s="1"/>
  <c r="AI181" i="23"/>
  <c r="AJ181" i="23" s="1"/>
  <c r="AL185" i="23"/>
  <c r="AM185" i="23" s="1"/>
  <c r="AI185" i="23"/>
  <c r="AJ185" i="23" s="1"/>
  <c r="AK185" i="23" s="1"/>
  <c r="AI182" i="23"/>
  <c r="AJ182" i="23" s="1"/>
  <c r="AK182" i="23" s="1"/>
  <c r="AL182" i="23"/>
  <c r="AM182" i="23" s="1"/>
  <c r="AI183" i="23"/>
  <c r="AJ183" i="23" s="1"/>
  <c r="AL183" i="23"/>
  <c r="AM183" i="23" s="1"/>
  <c r="AN183" i="23" s="1"/>
  <c r="AI179" i="23"/>
  <c r="AJ179" i="23" s="1"/>
  <c r="AL179" i="23"/>
  <c r="AM179" i="23" s="1"/>
  <c r="AN179" i="23" s="1"/>
  <c r="AI180" i="23"/>
  <c r="AJ180" i="23" s="1"/>
  <c r="AL180" i="23"/>
  <c r="AM180" i="23" s="1"/>
  <c r="AN180" i="23" s="1"/>
  <c r="AI186" i="23"/>
  <c r="AJ186" i="23" s="1"/>
  <c r="AL186" i="23"/>
  <c r="AM186" i="23" s="1"/>
  <c r="AN186" i="23" s="1"/>
  <c r="AL195" i="23"/>
  <c r="AM195" i="23" s="1"/>
  <c r="AI195" i="23"/>
  <c r="AJ195" i="23" s="1"/>
  <c r="AK195" i="23" s="1"/>
  <c r="AL189" i="23"/>
  <c r="AM189" i="23" s="1"/>
  <c r="AI189" i="23"/>
  <c r="AJ189" i="23" s="1"/>
  <c r="AK189" i="23" s="1"/>
  <c r="AL188" i="23"/>
  <c r="AM188" i="23" s="1"/>
  <c r="AI188" i="23"/>
  <c r="AJ188" i="23" s="1"/>
  <c r="AK188" i="23" s="1"/>
  <c r="AI191" i="23"/>
  <c r="AJ191" i="23" s="1"/>
  <c r="AL191" i="23"/>
  <c r="AM191" i="23" s="1"/>
  <c r="AN191" i="23" s="1"/>
  <c r="AI193" i="23"/>
  <c r="AJ193" i="23" s="1"/>
  <c r="AK193" i="23" s="1"/>
  <c r="AL193" i="23"/>
  <c r="AM193" i="23" s="1"/>
  <c r="AI190" i="23"/>
  <c r="AJ190" i="23" s="1"/>
  <c r="AK190" i="23" s="1"/>
  <c r="AL190" i="23"/>
  <c r="AM190" i="23" s="1"/>
  <c r="AL192" i="23"/>
  <c r="AM192" i="23" s="1"/>
  <c r="AN192" i="23" s="1"/>
  <c r="AI192" i="23"/>
  <c r="AJ192" i="23" s="1"/>
  <c r="AI187" i="23"/>
  <c r="AJ187" i="23" s="1"/>
  <c r="AL187" i="23"/>
  <c r="AM187" i="23" s="1"/>
  <c r="AN187" i="23" s="1"/>
  <c r="AL196" i="23"/>
  <c r="AM196" i="23" s="1"/>
  <c r="AN196" i="23" s="1"/>
  <c r="AI196" i="23"/>
  <c r="AJ196" i="23" s="1"/>
  <c r="J49" i="1"/>
  <c r="AH147" i="30"/>
  <c r="R149" i="30"/>
  <c r="V148" i="30"/>
  <c r="T149" i="30"/>
  <c r="S150" i="30"/>
  <c r="AV175" i="30"/>
  <c r="Q177" i="23"/>
  <c r="S177" i="23" s="1"/>
  <c r="T177" i="23" s="1"/>
  <c r="R178" i="23" s="1"/>
  <c r="S178" i="23" s="1"/>
  <c r="S179" i="23" s="1"/>
  <c r="V159" i="26"/>
  <c r="AS159" i="26" s="1"/>
  <c r="R142" i="26"/>
  <c r="V141" i="26"/>
  <c r="AE140" i="26"/>
  <c r="AS140" i="26"/>
  <c r="AR160" i="26"/>
  <c r="AR161" i="26"/>
  <c r="AR162" i="26"/>
  <c r="AR164" i="26"/>
  <c r="S161" i="26"/>
  <c r="T160" i="26"/>
  <c r="S143" i="26"/>
  <c r="T142" i="26"/>
  <c r="BG196" i="26"/>
  <c r="AR175" i="25"/>
  <c r="AR176" i="25"/>
  <c r="AR177" i="25"/>
  <c r="R154" i="25"/>
  <c r="V153" i="25"/>
  <c r="AS152" i="25"/>
  <c r="AE152" i="25"/>
  <c r="T154" i="25"/>
  <c r="S155" i="25"/>
  <c r="BG192" i="25"/>
  <c r="AR174" i="25"/>
  <c r="AR173" i="25"/>
  <c r="AR178" i="25"/>
  <c r="R174" i="25"/>
  <c r="S174" i="25" s="1"/>
  <c r="V173" i="25"/>
  <c r="BI118" i="20"/>
  <c r="AE155" i="23"/>
  <c r="AS155" i="23"/>
  <c r="R157" i="23"/>
  <c r="V156" i="23"/>
  <c r="S158" i="23"/>
  <c r="T157" i="23"/>
  <c r="BH192" i="23"/>
  <c r="BG189" i="3"/>
  <c r="BM58" i="35" l="1"/>
  <c r="BN58" i="35" s="1"/>
  <c r="BM27" i="36"/>
  <c r="BN27" i="36" s="1"/>
  <c r="AR198" i="23"/>
  <c r="AR197" i="23"/>
  <c r="AR200" i="23"/>
  <c r="AR201" i="23"/>
  <c r="AN177" i="23"/>
  <c r="AR177" i="23" s="1"/>
  <c r="AR199" i="23"/>
  <c r="AR202" i="23"/>
  <c r="J126" i="36"/>
  <c r="I126" i="36"/>
  <c r="K85" i="36"/>
  <c r="BR58" i="36"/>
  <c r="BR60" i="36" s="1"/>
  <c r="BQ98" i="36"/>
  <c r="BS98" i="36"/>
  <c r="M85" i="36"/>
  <c r="BJ173" i="36"/>
  <c r="BK172" i="36"/>
  <c r="BS57" i="36" s="1"/>
  <c r="K19" i="35"/>
  <c r="L31" i="35"/>
  <c r="J37" i="35"/>
  <c r="K25" i="35"/>
  <c r="BJ184" i="35"/>
  <c r="BK183" i="35"/>
  <c r="BS85" i="35" s="1"/>
  <c r="K37" i="35"/>
  <c r="L25" i="35"/>
  <c r="BO55" i="35"/>
  <c r="J19" i="35"/>
  <c r="BS126" i="35"/>
  <c r="BR86" i="35"/>
  <c r="BR88" i="35" s="1"/>
  <c r="BQ126" i="35"/>
  <c r="K31" i="35"/>
  <c r="AK180" i="23"/>
  <c r="AR180" i="23" s="1"/>
  <c r="AN182" i="23"/>
  <c r="AR182" i="23" s="1"/>
  <c r="AN184" i="23"/>
  <c r="AR184" i="23" s="1"/>
  <c r="AN178" i="23"/>
  <c r="AR178" i="23" s="1"/>
  <c r="AK183" i="23"/>
  <c r="AR183" i="23" s="1"/>
  <c r="AN185" i="23"/>
  <c r="AR185" i="23" s="1"/>
  <c r="AK179" i="23"/>
  <c r="AR179" i="23" s="1"/>
  <c r="AK181" i="23"/>
  <c r="AR181" i="23" s="1"/>
  <c r="AK192" i="23"/>
  <c r="AR192" i="23" s="1"/>
  <c r="AN189" i="23"/>
  <c r="AR189" i="23" s="1"/>
  <c r="AN188" i="23"/>
  <c r="AR188" i="23" s="1"/>
  <c r="AK187" i="23"/>
  <c r="AR187" i="23" s="1"/>
  <c r="AK191" i="23"/>
  <c r="AR191" i="23" s="1"/>
  <c r="AN193" i="23"/>
  <c r="AR193" i="23" s="1"/>
  <c r="AK186" i="23"/>
  <c r="AR186" i="23" s="1"/>
  <c r="AN190" i="23"/>
  <c r="AR190" i="23" s="1"/>
  <c r="AK196" i="23"/>
  <c r="AR196" i="23" s="1"/>
  <c r="AN195" i="23"/>
  <c r="AR195" i="23" s="1"/>
  <c r="AH148" i="30"/>
  <c r="T150" i="30"/>
  <c r="S151" i="30"/>
  <c r="AV176" i="30"/>
  <c r="V149" i="30"/>
  <c r="R150" i="30"/>
  <c r="V177" i="23"/>
  <c r="T178" i="23"/>
  <c r="V178" i="23" s="1"/>
  <c r="R143" i="26"/>
  <c r="V142" i="26"/>
  <c r="AE141" i="26"/>
  <c r="AS141" i="26"/>
  <c r="BG197" i="26"/>
  <c r="T143" i="26"/>
  <c r="S144" i="26"/>
  <c r="S162" i="26"/>
  <c r="T161" i="26"/>
  <c r="V160" i="26"/>
  <c r="R161" i="26"/>
  <c r="T155" i="25"/>
  <c r="S156" i="25"/>
  <c r="AS153" i="25"/>
  <c r="AE153" i="25"/>
  <c r="R155" i="25"/>
  <c r="V154" i="25"/>
  <c r="AS173" i="25"/>
  <c r="BG193" i="25"/>
  <c r="T174" i="25"/>
  <c r="S175" i="25"/>
  <c r="BI119" i="20"/>
  <c r="R158" i="23"/>
  <c r="V157" i="23"/>
  <c r="AE156" i="23"/>
  <c r="AS156" i="23"/>
  <c r="T179" i="23"/>
  <c r="S180" i="23"/>
  <c r="BH193" i="23"/>
  <c r="T158" i="23"/>
  <c r="S159" i="23"/>
  <c r="BG190" i="3"/>
  <c r="F2" i="1"/>
  <c r="D2" i="1"/>
  <c r="BM55" i="35" l="1"/>
  <c r="BN55" i="35" s="1"/>
  <c r="AS177" i="23"/>
  <c r="BU97" i="36"/>
  <c r="BQ97" i="36"/>
  <c r="BS58" i="36"/>
  <c r="BS60" i="36" s="1"/>
  <c r="BJ174" i="36"/>
  <c r="BK173" i="36"/>
  <c r="BT57" i="36" s="1"/>
  <c r="M85" i="35"/>
  <c r="I126" i="35"/>
  <c r="BU125" i="35"/>
  <c r="BQ125" i="35"/>
  <c r="BS86" i="35"/>
  <c r="BS88" i="35" s="1"/>
  <c r="K85" i="35"/>
  <c r="BJ185" i="35"/>
  <c r="BK184" i="35"/>
  <c r="BT85" i="35" s="1"/>
  <c r="J126" i="35"/>
  <c r="H9" i="1"/>
  <c r="H11" i="1"/>
  <c r="AH149" i="30"/>
  <c r="V150" i="30"/>
  <c r="R151" i="30"/>
  <c r="T151" i="30"/>
  <c r="S152" i="30"/>
  <c r="AV177" i="30"/>
  <c r="R179" i="23"/>
  <c r="AE142" i="26"/>
  <c r="AS142" i="26"/>
  <c r="R144" i="26"/>
  <c r="V143" i="26"/>
  <c r="T144" i="26"/>
  <c r="S145" i="26"/>
  <c r="V161" i="26"/>
  <c r="R162" i="26"/>
  <c r="S163" i="26"/>
  <c r="T162" i="26"/>
  <c r="AS160" i="26"/>
  <c r="BG198" i="26"/>
  <c r="BG194" i="25"/>
  <c r="S157" i="25"/>
  <c r="T156" i="25"/>
  <c r="AE154" i="25"/>
  <c r="AS154" i="25"/>
  <c r="T175" i="25"/>
  <c r="S176" i="25"/>
  <c r="R156" i="25"/>
  <c r="V155" i="25"/>
  <c r="R175" i="25"/>
  <c r="V174" i="25"/>
  <c r="BI120" i="20"/>
  <c r="R159" i="23"/>
  <c r="V158" i="23"/>
  <c r="AE157" i="23"/>
  <c r="AS157" i="23"/>
  <c r="T180" i="23"/>
  <c r="S181" i="23"/>
  <c r="S160" i="23"/>
  <c r="T159" i="23"/>
  <c r="BH194" i="23"/>
  <c r="AS178" i="23"/>
  <c r="V179" i="23"/>
  <c r="R180" i="23"/>
  <c r="BG191" i="3"/>
  <c r="BK174" i="36" l="1"/>
  <c r="BU57" i="36" s="1"/>
  <c r="BJ175" i="36"/>
  <c r="BT58" i="36"/>
  <c r="BT60" i="36" s="1"/>
  <c r="BW96" i="36"/>
  <c r="BQ96" i="36"/>
  <c r="BJ186" i="35"/>
  <c r="BK185" i="35"/>
  <c r="BU85" i="35" s="1"/>
  <c r="BQ124" i="35"/>
  <c r="BT86" i="35"/>
  <c r="BT88" i="35" s="1"/>
  <c r="BW124" i="35"/>
  <c r="AV178" i="30"/>
  <c r="T152" i="30"/>
  <c r="S153" i="30"/>
  <c r="AH150" i="30"/>
  <c r="V151" i="30"/>
  <c r="R152" i="30"/>
  <c r="R145" i="26"/>
  <c r="V144" i="26"/>
  <c r="AE143" i="26"/>
  <c r="AS143" i="26"/>
  <c r="V162" i="26"/>
  <c r="R163" i="26"/>
  <c r="S146" i="26"/>
  <c r="T145" i="26"/>
  <c r="BG199" i="26"/>
  <c r="AS161" i="26"/>
  <c r="S164" i="26"/>
  <c r="T163" i="26"/>
  <c r="S177" i="25"/>
  <c r="T176" i="25"/>
  <c r="R176" i="25"/>
  <c r="V175" i="25"/>
  <c r="S158" i="25"/>
  <c r="T157" i="25"/>
  <c r="BG195" i="25"/>
  <c r="AS174" i="25"/>
  <c r="AE155" i="25"/>
  <c r="AS155" i="25"/>
  <c r="R157" i="25"/>
  <c r="V156" i="25"/>
  <c r="BI121" i="20"/>
  <c r="R160" i="23"/>
  <c r="V159" i="23"/>
  <c r="AE158" i="23"/>
  <c r="AS158" i="23"/>
  <c r="AS179" i="23"/>
  <c r="S161" i="23"/>
  <c r="T160" i="23"/>
  <c r="BH195" i="23"/>
  <c r="T181" i="23"/>
  <c r="S182" i="23"/>
  <c r="V180" i="23"/>
  <c r="R181" i="23"/>
  <c r="BG192" i="3"/>
  <c r="BK175" i="36" l="1"/>
  <c r="BV57" i="36" s="1"/>
  <c r="BJ176" i="36"/>
  <c r="BY95" i="36"/>
  <c r="BQ95" i="36"/>
  <c r="BU58" i="36"/>
  <c r="BU60" i="36" s="1"/>
  <c r="BY123" i="35"/>
  <c r="BU86" i="35"/>
  <c r="BU88" i="35" s="1"/>
  <c r="BQ123" i="35"/>
  <c r="BJ187" i="35"/>
  <c r="BK186" i="35"/>
  <c r="BV85" i="35" s="1"/>
  <c r="AH151" i="30"/>
  <c r="S154" i="30"/>
  <c r="T153" i="30"/>
  <c r="V152" i="30"/>
  <c r="R153" i="30"/>
  <c r="AV179" i="30"/>
  <c r="R146" i="26"/>
  <c r="V145" i="26"/>
  <c r="AE144" i="26"/>
  <c r="AS144" i="26"/>
  <c r="V163" i="26"/>
  <c r="R164" i="26"/>
  <c r="S147" i="26"/>
  <c r="T146" i="26"/>
  <c r="T164" i="26"/>
  <c r="BG200" i="26"/>
  <c r="AS162" i="26"/>
  <c r="V176" i="25"/>
  <c r="R177" i="25"/>
  <c r="T158" i="25"/>
  <c r="S159" i="25"/>
  <c r="S160" i="25" s="1"/>
  <c r="BG196" i="25"/>
  <c r="R158" i="25"/>
  <c r="V157" i="25"/>
  <c r="T177" i="25"/>
  <c r="S178" i="25"/>
  <c r="AS156" i="25"/>
  <c r="AE156" i="25"/>
  <c r="AS175" i="25"/>
  <c r="BI122" i="20"/>
  <c r="AE159" i="23"/>
  <c r="AS159" i="23"/>
  <c r="R161" i="23"/>
  <c r="V160" i="23"/>
  <c r="AS180" i="23"/>
  <c r="T161" i="23"/>
  <c r="S162" i="23"/>
  <c r="BH196" i="23"/>
  <c r="S183" i="23"/>
  <c r="T182" i="23"/>
  <c r="R182" i="23"/>
  <c r="V181" i="23"/>
  <c r="BG193" i="3"/>
  <c r="T160" i="25" l="1"/>
  <c r="R161" i="25" s="1"/>
  <c r="S161" i="25"/>
  <c r="T161" i="25" s="1"/>
  <c r="BJ177" i="36"/>
  <c r="BK176" i="36"/>
  <c r="BW57" i="36" s="1"/>
  <c r="BQ94" i="36"/>
  <c r="CA94" i="36"/>
  <c r="CA99" i="36" s="1"/>
  <c r="CA131" i="36" s="1"/>
  <c r="BV58" i="36"/>
  <c r="BV60" i="36" s="1"/>
  <c r="BJ188" i="35"/>
  <c r="BK187" i="35"/>
  <c r="BW85" i="35" s="1"/>
  <c r="BQ122" i="35"/>
  <c r="BV86" i="35"/>
  <c r="BV88" i="35" s="1"/>
  <c r="CA122" i="35"/>
  <c r="CA127" i="35" s="1"/>
  <c r="CA129" i="35" s="1"/>
  <c r="AH152" i="30"/>
  <c r="AV180" i="30"/>
  <c r="R154" i="30"/>
  <c r="V153" i="30"/>
  <c r="S155" i="30"/>
  <c r="T154" i="30"/>
  <c r="AE145" i="26"/>
  <c r="AS145" i="26"/>
  <c r="R147" i="26"/>
  <c r="V146" i="26"/>
  <c r="AS163" i="26"/>
  <c r="BG201" i="26"/>
  <c r="T147" i="26"/>
  <c r="S148" i="26"/>
  <c r="V164" i="26"/>
  <c r="T178" i="25"/>
  <c r="BG197" i="25"/>
  <c r="R178" i="25"/>
  <c r="V177" i="25"/>
  <c r="T159" i="25"/>
  <c r="R160" i="25" s="1"/>
  <c r="AS176" i="25"/>
  <c r="AS157" i="25"/>
  <c r="AE157" i="25"/>
  <c r="V158" i="25"/>
  <c r="R159" i="25"/>
  <c r="BI123" i="20"/>
  <c r="R162" i="23"/>
  <c r="V161" i="23"/>
  <c r="AE160" i="23"/>
  <c r="AS160" i="23"/>
  <c r="T162" i="23"/>
  <c r="S163" i="23"/>
  <c r="BH197" i="23"/>
  <c r="AS181" i="23"/>
  <c r="R183" i="23"/>
  <c r="V182" i="23"/>
  <c r="T183" i="23"/>
  <c r="S184" i="23"/>
  <c r="BG194" i="3"/>
  <c r="J192" i="20"/>
  <c r="K192" i="20" s="1"/>
  <c r="L192" i="20" s="1"/>
  <c r="M192" i="20" s="1"/>
  <c r="N192" i="20" s="1"/>
  <c r="J191" i="20"/>
  <c r="K191" i="20" s="1"/>
  <c r="L191" i="20" s="1"/>
  <c r="M191" i="20" s="1"/>
  <c r="N191" i="20" s="1"/>
  <c r="J190" i="20"/>
  <c r="K190" i="20" s="1"/>
  <c r="L190" i="20" s="1"/>
  <c r="M190" i="20" s="1"/>
  <c r="N190" i="20" s="1"/>
  <c r="J189" i="20"/>
  <c r="K189" i="20" s="1"/>
  <c r="L189" i="20" s="1"/>
  <c r="M189" i="20" s="1"/>
  <c r="N189" i="20" s="1"/>
  <c r="J188" i="20"/>
  <c r="K188" i="20" s="1"/>
  <c r="L188" i="20" s="1"/>
  <c r="M188" i="20" s="1"/>
  <c r="N188" i="20" s="1"/>
  <c r="J187" i="20"/>
  <c r="K187" i="20" s="1"/>
  <c r="L187" i="20" s="1"/>
  <c r="M187" i="20" s="1"/>
  <c r="N187" i="20" s="1"/>
  <c r="J186" i="20"/>
  <c r="K186" i="20" s="1"/>
  <c r="L186" i="20" s="1"/>
  <c r="M186" i="20" s="1"/>
  <c r="N186" i="20" s="1"/>
  <c r="AQ174" i="20"/>
  <c r="G185" i="20"/>
  <c r="F185" i="20" s="1"/>
  <c r="J168" i="20"/>
  <c r="K168" i="20" s="1"/>
  <c r="L168" i="20" s="1"/>
  <c r="M168" i="20" s="1"/>
  <c r="N168" i="20" s="1"/>
  <c r="J167" i="20"/>
  <c r="K167" i="20" s="1"/>
  <c r="L167" i="20" s="1"/>
  <c r="M167" i="20" s="1"/>
  <c r="N167" i="20" s="1"/>
  <c r="J166" i="20"/>
  <c r="K166" i="20" s="1"/>
  <c r="L166" i="20" s="1"/>
  <c r="M166" i="20" s="1"/>
  <c r="N166" i="20" s="1"/>
  <c r="J165" i="20"/>
  <c r="K165" i="20" s="1"/>
  <c r="L165" i="20" s="1"/>
  <c r="M165" i="20" s="1"/>
  <c r="N165" i="20" s="1"/>
  <c r="J164" i="20"/>
  <c r="K164" i="20" s="1"/>
  <c r="L164" i="20" s="1"/>
  <c r="M164" i="20" s="1"/>
  <c r="N164" i="20" s="1"/>
  <c r="J163" i="20"/>
  <c r="K163" i="20" s="1"/>
  <c r="L163" i="20" s="1"/>
  <c r="M163" i="20" s="1"/>
  <c r="N163" i="20" s="1"/>
  <c r="J162" i="20"/>
  <c r="K162" i="20" s="1"/>
  <c r="L162" i="20" s="1"/>
  <c r="M162" i="20" s="1"/>
  <c r="N162" i="20" s="1"/>
  <c r="J161" i="20"/>
  <c r="K161" i="20" s="1"/>
  <c r="L161" i="20" s="1"/>
  <c r="M161" i="20" s="1"/>
  <c r="N161" i="20" s="1"/>
  <c r="J160" i="20"/>
  <c r="K160" i="20" s="1"/>
  <c r="L160" i="20" s="1"/>
  <c r="M160" i="20" s="1"/>
  <c r="N160" i="20" s="1"/>
  <c r="J159" i="20"/>
  <c r="K159" i="20" s="1"/>
  <c r="L159" i="20" s="1"/>
  <c r="M159" i="20" s="1"/>
  <c r="N159" i="20" s="1"/>
  <c r="J158" i="20"/>
  <c r="K158" i="20" s="1"/>
  <c r="L158" i="20" s="1"/>
  <c r="M158" i="20" s="1"/>
  <c r="N158" i="20" s="1"/>
  <c r="J157" i="20"/>
  <c r="K157" i="20" s="1"/>
  <c r="L157" i="20" s="1"/>
  <c r="M157" i="20" s="1"/>
  <c r="N157" i="20" s="1"/>
  <c r="J156" i="20"/>
  <c r="K156" i="20" s="1"/>
  <c r="L156" i="20" s="1"/>
  <c r="M156" i="20" s="1"/>
  <c r="N156" i="20" s="1"/>
  <c r="J155" i="20"/>
  <c r="K155" i="20" s="1"/>
  <c r="L155" i="20" s="1"/>
  <c r="M155" i="20" s="1"/>
  <c r="N155" i="20" s="1"/>
  <c r="J154" i="20"/>
  <c r="K154" i="20" s="1"/>
  <c r="L154" i="20" s="1"/>
  <c r="M154" i="20" s="1"/>
  <c r="N154" i="20" s="1"/>
  <c r="J153" i="20"/>
  <c r="K153" i="20" s="1"/>
  <c r="L153" i="20" s="1"/>
  <c r="M153" i="20" s="1"/>
  <c r="N153" i="20" s="1"/>
  <c r="J152" i="20"/>
  <c r="K152" i="20" s="1"/>
  <c r="L152" i="20" s="1"/>
  <c r="M152" i="20" s="1"/>
  <c r="N152" i="20" s="1"/>
  <c r="J151" i="20"/>
  <c r="K151" i="20" s="1"/>
  <c r="L151" i="20" s="1"/>
  <c r="M151" i="20" s="1"/>
  <c r="N151" i="20" s="1"/>
  <c r="J150" i="20"/>
  <c r="K150" i="20" s="1"/>
  <c r="L150" i="20" s="1"/>
  <c r="M150" i="20" s="1"/>
  <c r="N150" i="20" s="1"/>
  <c r="G149" i="20"/>
  <c r="C149" i="20"/>
  <c r="AG167" i="20" s="1"/>
  <c r="CC93" i="36" l="1"/>
  <c r="CC99" i="36" s="1"/>
  <c r="CC131" i="36" s="1"/>
  <c r="BQ93" i="36"/>
  <c r="BW58" i="36"/>
  <c r="BW60" i="36" s="1"/>
  <c r="BJ178" i="36"/>
  <c r="BK177" i="36"/>
  <c r="BX57" i="36" s="1"/>
  <c r="CC121" i="35"/>
  <c r="CC127" i="35" s="1"/>
  <c r="CC129" i="35" s="1"/>
  <c r="BQ121" i="35"/>
  <c r="BW86" i="35"/>
  <c r="BW88" i="35" s="1"/>
  <c r="BJ189" i="35"/>
  <c r="BK188" i="35"/>
  <c r="BX85" i="35" s="1"/>
  <c r="AQ173" i="20"/>
  <c r="AQ157" i="20"/>
  <c r="AQ158" i="20"/>
  <c r="AQ168" i="20"/>
  <c r="AQ163" i="20"/>
  <c r="AQ169" i="20"/>
  <c r="AQ153" i="20"/>
  <c r="AQ170" i="20"/>
  <c r="AQ154" i="20"/>
  <c r="AQ160" i="20"/>
  <c r="AQ159" i="20"/>
  <c r="AQ149" i="20"/>
  <c r="AQ165" i="20"/>
  <c r="AQ164" i="20"/>
  <c r="AQ166" i="20"/>
  <c r="AQ172" i="20"/>
  <c r="AQ171" i="20"/>
  <c r="AQ155" i="20"/>
  <c r="AQ150" i="20"/>
  <c r="AQ161" i="20"/>
  <c r="AQ152" i="20"/>
  <c r="AQ162" i="20"/>
  <c r="AQ156" i="20"/>
  <c r="AQ167" i="20"/>
  <c r="AQ151" i="20"/>
  <c r="AG173" i="20"/>
  <c r="AG169" i="20"/>
  <c r="O173" i="20"/>
  <c r="P173" i="20" s="1"/>
  <c r="Q173" i="20" s="1"/>
  <c r="O169" i="20"/>
  <c r="P169" i="20" s="1"/>
  <c r="Q169" i="20" s="1"/>
  <c r="AG170" i="20"/>
  <c r="AG172" i="20"/>
  <c r="O172" i="20"/>
  <c r="P172" i="20" s="1"/>
  <c r="Q172" i="20" s="1"/>
  <c r="AG174" i="20"/>
  <c r="O170" i="20"/>
  <c r="P170" i="20" s="1"/>
  <c r="Q170" i="20" s="1"/>
  <c r="AG171" i="20"/>
  <c r="O171" i="20"/>
  <c r="P171" i="20" s="1"/>
  <c r="Q171" i="20" s="1"/>
  <c r="O174" i="20"/>
  <c r="P174" i="20" s="1"/>
  <c r="Q174" i="20" s="1"/>
  <c r="R155" i="30"/>
  <c r="V154" i="30"/>
  <c r="AH153" i="30"/>
  <c r="S156" i="30"/>
  <c r="T155" i="30"/>
  <c r="AV181" i="30"/>
  <c r="R148" i="26"/>
  <c r="V147" i="26"/>
  <c r="AE146" i="26"/>
  <c r="AS146" i="26"/>
  <c r="T148" i="26"/>
  <c r="S149" i="26"/>
  <c r="T149" i="26" s="1"/>
  <c r="V149" i="26" s="1"/>
  <c r="BG202" i="26"/>
  <c r="AS164" i="26"/>
  <c r="BG198" i="25"/>
  <c r="AS177" i="25"/>
  <c r="V178" i="25"/>
  <c r="AE158" i="25"/>
  <c r="AS158" i="25"/>
  <c r="V159" i="25"/>
  <c r="BI124" i="20"/>
  <c r="AG152" i="20"/>
  <c r="AE161" i="23"/>
  <c r="AS161" i="23"/>
  <c r="R163" i="23"/>
  <c r="V162" i="23"/>
  <c r="BH198" i="23"/>
  <c r="S185" i="23"/>
  <c r="T184" i="23"/>
  <c r="S164" i="23"/>
  <c r="T164" i="23" s="1"/>
  <c r="V164" i="23" s="1"/>
  <c r="T163" i="23"/>
  <c r="V183" i="23"/>
  <c r="R184" i="23"/>
  <c r="AS182" i="23"/>
  <c r="J149" i="20"/>
  <c r="K149" i="20" s="1"/>
  <c r="L149" i="20" s="1"/>
  <c r="M149" i="20" s="1"/>
  <c r="N149" i="20" s="1"/>
  <c r="O156" i="20"/>
  <c r="P156" i="20" s="1"/>
  <c r="Q156" i="20" s="1"/>
  <c r="BG195" i="3"/>
  <c r="O150" i="20"/>
  <c r="P150" i="20" s="1"/>
  <c r="Q150" i="20" s="1"/>
  <c r="O154" i="20"/>
  <c r="P154" i="20" s="1"/>
  <c r="Q154" i="20" s="1"/>
  <c r="AG156" i="20"/>
  <c r="O160" i="20"/>
  <c r="P160" i="20" s="1"/>
  <c r="Q160" i="20" s="1"/>
  <c r="AG150" i="20"/>
  <c r="O152" i="20"/>
  <c r="P152" i="20" s="1"/>
  <c r="Q152" i="20" s="1"/>
  <c r="O158" i="20"/>
  <c r="P158" i="20" s="1"/>
  <c r="Q158" i="20" s="1"/>
  <c r="AG149" i="20"/>
  <c r="AG154" i="20"/>
  <c r="AG158" i="20"/>
  <c r="AG160" i="20"/>
  <c r="O162" i="20"/>
  <c r="P162" i="20" s="1"/>
  <c r="Q162" i="20" s="1"/>
  <c r="AG162" i="20"/>
  <c r="O164" i="20"/>
  <c r="P164" i="20" s="1"/>
  <c r="Q164" i="20" s="1"/>
  <c r="AG164" i="20"/>
  <c r="O165" i="20"/>
  <c r="P165" i="20" s="1"/>
  <c r="Q165" i="20" s="1"/>
  <c r="O167" i="20"/>
  <c r="P167" i="20" s="1"/>
  <c r="Q167" i="20" s="1"/>
  <c r="AG165" i="20"/>
  <c r="O166" i="20"/>
  <c r="P166" i="20" s="1"/>
  <c r="Q166" i="20" s="1"/>
  <c r="O168" i="20"/>
  <c r="P168" i="20" s="1"/>
  <c r="Q168" i="20" s="1"/>
  <c r="O149" i="20"/>
  <c r="P149" i="20" s="1"/>
  <c r="O151" i="20"/>
  <c r="P151" i="20" s="1"/>
  <c r="Q151" i="20" s="1"/>
  <c r="AG151" i="20"/>
  <c r="O153" i="20"/>
  <c r="P153" i="20" s="1"/>
  <c r="Q153" i="20" s="1"/>
  <c r="AG153" i="20"/>
  <c r="O155" i="20"/>
  <c r="P155" i="20" s="1"/>
  <c r="Q155" i="20" s="1"/>
  <c r="AG155" i="20"/>
  <c r="O157" i="20"/>
  <c r="P157" i="20" s="1"/>
  <c r="Q157" i="20" s="1"/>
  <c r="AG157" i="20"/>
  <c r="O159" i="20"/>
  <c r="P159" i="20" s="1"/>
  <c r="Q159" i="20" s="1"/>
  <c r="AG159" i="20"/>
  <c r="O161" i="20"/>
  <c r="P161" i="20" s="1"/>
  <c r="Q161" i="20" s="1"/>
  <c r="AG161" i="20"/>
  <c r="O163" i="20"/>
  <c r="P163" i="20" s="1"/>
  <c r="Q163" i="20" s="1"/>
  <c r="AG163" i="20"/>
  <c r="AG166" i="20"/>
  <c r="AG168" i="20"/>
  <c r="BK178" i="36" l="1"/>
  <c r="BY57" i="36" s="1"/>
  <c r="BJ179" i="36"/>
  <c r="BX58" i="36"/>
  <c r="BX60" i="36" s="1"/>
  <c r="CE92" i="36"/>
  <c r="CE99" i="36" s="1"/>
  <c r="CE131" i="36" s="1"/>
  <c r="BQ92" i="36"/>
  <c r="BK189" i="35"/>
  <c r="BY85" i="35" s="1"/>
  <c r="BJ190" i="35"/>
  <c r="BQ120" i="35"/>
  <c r="CE120" i="35"/>
  <c r="CE127" i="35" s="1"/>
  <c r="CE129" i="35" s="1"/>
  <c r="BX86" i="35"/>
  <c r="BX88" i="35" s="1"/>
  <c r="AH166" i="20"/>
  <c r="AI166" i="20"/>
  <c r="AJ166" i="20" s="1"/>
  <c r="AK166" i="20" s="1"/>
  <c r="AL166" i="20"/>
  <c r="AM166" i="20" s="1"/>
  <c r="AN166" i="20" s="1"/>
  <c r="AI162" i="20"/>
  <c r="AJ162" i="20" s="1"/>
  <c r="AK162" i="20" s="1"/>
  <c r="AL162" i="20"/>
  <c r="AM162" i="20" s="1"/>
  <c r="AN162" i="20" s="1"/>
  <c r="AI154" i="20"/>
  <c r="AJ154" i="20" s="1"/>
  <c r="AK154" i="20" s="1"/>
  <c r="AL154" i="20"/>
  <c r="AM154" i="20" s="1"/>
  <c r="AN154" i="20" s="1"/>
  <c r="AI150" i="20"/>
  <c r="AJ150" i="20" s="1"/>
  <c r="AK150" i="20" s="1"/>
  <c r="AL150" i="20"/>
  <c r="AM150" i="20" s="1"/>
  <c r="AN150" i="20" s="1"/>
  <c r="AL174" i="20"/>
  <c r="AM174" i="20" s="1"/>
  <c r="AN174" i="20" s="1"/>
  <c r="AH174" i="20"/>
  <c r="AI174" i="20"/>
  <c r="AJ174" i="20" s="1"/>
  <c r="AK174" i="20" s="1"/>
  <c r="AI159" i="20"/>
  <c r="AJ159" i="20" s="1"/>
  <c r="AK159" i="20" s="1"/>
  <c r="AL159" i="20"/>
  <c r="AM159" i="20" s="1"/>
  <c r="AN159" i="20" s="1"/>
  <c r="AI155" i="20"/>
  <c r="AJ155" i="20" s="1"/>
  <c r="AK155" i="20" s="1"/>
  <c r="AL155" i="20"/>
  <c r="AM155" i="20" s="1"/>
  <c r="AN155" i="20" s="1"/>
  <c r="AI151" i="20"/>
  <c r="AJ151" i="20" s="1"/>
  <c r="AK151" i="20" s="1"/>
  <c r="AL151" i="20"/>
  <c r="AM151" i="20" s="1"/>
  <c r="AN151" i="20" s="1"/>
  <c r="AH167" i="20"/>
  <c r="AI167" i="20"/>
  <c r="AJ167" i="20" s="1"/>
  <c r="AK167" i="20" s="1"/>
  <c r="AL167" i="20"/>
  <c r="AM167" i="20" s="1"/>
  <c r="AN167" i="20" s="1"/>
  <c r="AH149" i="20"/>
  <c r="AI149" i="20"/>
  <c r="AJ149" i="20" s="1"/>
  <c r="AK149" i="20" s="1"/>
  <c r="AL149" i="20"/>
  <c r="AM149" i="20" s="1"/>
  <c r="AN149" i="20" s="1"/>
  <c r="AH152" i="20"/>
  <c r="AL152" i="20"/>
  <c r="AM152" i="20" s="1"/>
  <c r="AN152" i="20" s="1"/>
  <c r="AI152" i="20"/>
  <c r="AJ152" i="20" s="1"/>
  <c r="AK152" i="20" s="1"/>
  <c r="AH164" i="20"/>
  <c r="AL164" i="20"/>
  <c r="AM164" i="20" s="1"/>
  <c r="AN164" i="20" s="1"/>
  <c r="AI164" i="20"/>
  <c r="AJ164" i="20" s="1"/>
  <c r="AK164" i="20" s="1"/>
  <c r="AI160" i="20"/>
  <c r="AJ160" i="20" s="1"/>
  <c r="AK160" i="20" s="1"/>
  <c r="AL160" i="20"/>
  <c r="AM160" i="20" s="1"/>
  <c r="AN160" i="20" s="1"/>
  <c r="AL156" i="20"/>
  <c r="AM156" i="20" s="1"/>
  <c r="AN156" i="20" s="1"/>
  <c r="AI156" i="20"/>
  <c r="AJ156" i="20" s="1"/>
  <c r="AK156" i="20" s="1"/>
  <c r="AI171" i="20"/>
  <c r="AJ171" i="20" s="1"/>
  <c r="AK171" i="20" s="1"/>
  <c r="AL171" i="20"/>
  <c r="AM171" i="20" s="1"/>
  <c r="AN171" i="20" s="1"/>
  <c r="AH171" i="20"/>
  <c r="AH172" i="20"/>
  <c r="AI172" i="20"/>
  <c r="AJ172" i="20" s="1"/>
  <c r="AK172" i="20" s="1"/>
  <c r="AL172" i="20"/>
  <c r="AM172" i="20" s="1"/>
  <c r="AN172" i="20" s="1"/>
  <c r="AL169" i="20"/>
  <c r="AM169" i="20" s="1"/>
  <c r="AN169" i="20" s="1"/>
  <c r="AI169" i="20"/>
  <c r="AJ169" i="20" s="1"/>
  <c r="AK169" i="20" s="1"/>
  <c r="AH169" i="20"/>
  <c r="AI163" i="20"/>
  <c r="AJ163" i="20" s="1"/>
  <c r="AK163" i="20" s="1"/>
  <c r="AL163" i="20"/>
  <c r="AM163" i="20" s="1"/>
  <c r="AN163" i="20" s="1"/>
  <c r="AH168" i="20"/>
  <c r="AL168" i="20"/>
  <c r="AM168" i="20" s="1"/>
  <c r="AN168" i="20" s="1"/>
  <c r="AI168" i="20"/>
  <c r="AJ168" i="20" s="1"/>
  <c r="AK168" i="20" s="1"/>
  <c r="AL161" i="20"/>
  <c r="AM161" i="20" s="1"/>
  <c r="AN161" i="20" s="1"/>
  <c r="AI161" i="20"/>
  <c r="AJ161" i="20" s="1"/>
  <c r="AK161" i="20" s="1"/>
  <c r="AL157" i="20"/>
  <c r="AM157" i="20" s="1"/>
  <c r="AN157" i="20" s="1"/>
  <c r="AI157" i="20"/>
  <c r="AJ157" i="20" s="1"/>
  <c r="AK157" i="20" s="1"/>
  <c r="AL153" i="20"/>
  <c r="AM153" i="20" s="1"/>
  <c r="AN153" i="20" s="1"/>
  <c r="AI153" i="20"/>
  <c r="AJ153" i="20" s="1"/>
  <c r="AK153" i="20" s="1"/>
  <c r="AH165" i="20"/>
  <c r="AL165" i="20"/>
  <c r="AM165" i="20" s="1"/>
  <c r="AN165" i="20" s="1"/>
  <c r="AI165" i="20"/>
  <c r="AJ165" i="20" s="1"/>
  <c r="AK165" i="20" s="1"/>
  <c r="AI158" i="20"/>
  <c r="AJ158" i="20" s="1"/>
  <c r="AK158" i="20" s="1"/>
  <c r="AL158" i="20"/>
  <c r="AM158" i="20" s="1"/>
  <c r="AN158" i="20" s="1"/>
  <c r="AH170" i="20"/>
  <c r="AI170" i="20"/>
  <c r="AJ170" i="20" s="1"/>
  <c r="AK170" i="20" s="1"/>
  <c r="AL170" i="20"/>
  <c r="AM170" i="20" s="1"/>
  <c r="AN170" i="20" s="1"/>
  <c r="AH173" i="20"/>
  <c r="AL173" i="20"/>
  <c r="AM173" i="20" s="1"/>
  <c r="AN173" i="20" s="1"/>
  <c r="AI173" i="20"/>
  <c r="AJ173" i="20" s="1"/>
  <c r="AK173" i="20" s="1"/>
  <c r="AF149" i="26"/>
  <c r="AE149" i="26"/>
  <c r="AS149" i="26"/>
  <c r="R149" i="26"/>
  <c r="V148" i="26"/>
  <c r="AF146" i="26" s="1"/>
  <c r="AU146" i="26" s="1"/>
  <c r="R156" i="30"/>
  <c r="V155" i="30"/>
  <c r="AH154" i="30"/>
  <c r="S157" i="30"/>
  <c r="T156" i="30"/>
  <c r="AV182" i="30"/>
  <c r="AE147" i="26"/>
  <c r="AS147" i="26"/>
  <c r="BG203" i="26"/>
  <c r="AE159" i="25"/>
  <c r="AS159" i="25"/>
  <c r="AS178" i="25"/>
  <c r="AF159" i="25"/>
  <c r="BG199" i="25"/>
  <c r="BI125" i="20"/>
  <c r="Q149" i="20"/>
  <c r="S149" i="20" s="1"/>
  <c r="T149" i="20" s="1"/>
  <c r="R150" i="20" s="1"/>
  <c r="S150" i="20" s="1"/>
  <c r="AF164" i="23"/>
  <c r="AE164" i="23"/>
  <c r="AS164" i="23"/>
  <c r="AE162" i="23"/>
  <c r="AS162" i="23"/>
  <c r="R164" i="23"/>
  <c r="V163" i="23"/>
  <c r="AS183" i="23"/>
  <c r="S186" i="23"/>
  <c r="T185" i="23"/>
  <c r="BH199" i="23"/>
  <c r="V184" i="23"/>
  <c r="R185" i="23"/>
  <c r="AH156" i="20"/>
  <c r="BG196" i="3"/>
  <c r="AH154" i="20"/>
  <c r="AH158" i="20"/>
  <c r="AH150" i="20"/>
  <c r="AH160" i="20"/>
  <c r="AH155" i="20"/>
  <c r="AH163" i="20"/>
  <c r="AH159" i="20"/>
  <c r="AH151" i="20"/>
  <c r="AH161" i="20"/>
  <c r="AH157" i="20"/>
  <c r="AH153" i="20"/>
  <c r="AH162" i="20"/>
  <c r="AH175" i="20" l="1"/>
  <c r="AD160" i="25"/>
  <c r="AC160" i="25" s="1"/>
  <c r="AD161" i="25"/>
  <c r="AC161" i="25" s="1"/>
  <c r="AR173" i="20"/>
  <c r="BJ180" i="36"/>
  <c r="BK179" i="36"/>
  <c r="BZ57" i="36" s="1"/>
  <c r="CG91" i="36"/>
  <c r="BQ91" i="36"/>
  <c r="BQ99" i="36" s="1"/>
  <c r="BY58" i="36"/>
  <c r="BY60" i="36" s="1"/>
  <c r="BJ191" i="35"/>
  <c r="BK190" i="35"/>
  <c r="BZ85" i="35" s="1"/>
  <c r="CG119" i="35"/>
  <c r="BQ119" i="35"/>
  <c r="BQ127" i="35" s="1"/>
  <c r="BY86" i="35"/>
  <c r="BY88" i="35" s="1"/>
  <c r="AR172" i="20"/>
  <c r="AR171" i="20"/>
  <c r="AR170" i="20"/>
  <c r="AR174" i="20"/>
  <c r="AR169" i="20"/>
  <c r="T157" i="30"/>
  <c r="S158" i="30"/>
  <c r="AF139" i="26"/>
  <c r="AU139" i="26" s="1"/>
  <c r="AF144" i="26"/>
  <c r="AU144" i="26" s="1"/>
  <c r="AF138" i="26"/>
  <c r="AU138" i="26" s="1"/>
  <c r="AF141" i="26"/>
  <c r="AU141" i="26" s="1"/>
  <c r="AF140" i="26"/>
  <c r="AU140" i="26" s="1"/>
  <c r="AF143" i="26"/>
  <c r="AU143" i="26" s="1"/>
  <c r="AF145" i="26"/>
  <c r="AU145" i="26" s="1"/>
  <c r="AF147" i="26"/>
  <c r="AU147" i="26" s="1"/>
  <c r="AF142" i="26"/>
  <c r="AU142" i="26" s="1"/>
  <c r="AU149" i="26"/>
  <c r="AF148" i="26"/>
  <c r="AE148" i="26"/>
  <c r="AD144" i="26" s="1"/>
  <c r="AC144" i="26" s="1"/>
  <c r="AS148" i="26"/>
  <c r="R157" i="30"/>
  <c r="V156" i="30"/>
  <c r="AH155" i="30"/>
  <c r="AV183" i="30"/>
  <c r="V149" i="20"/>
  <c r="BG204" i="26"/>
  <c r="AF155" i="25"/>
  <c r="AU155" i="25" s="1"/>
  <c r="AF152" i="25"/>
  <c r="AU152" i="25" s="1"/>
  <c r="AF151" i="25"/>
  <c r="AU151" i="25" s="1"/>
  <c r="AF158" i="25"/>
  <c r="AU158" i="25" s="1"/>
  <c r="AU159" i="25"/>
  <c r="BG200" i="25"/>
  <c r="AD158" i="25"/>
  <c r="AC158" i="25" s="1"/>
  <c r="AF156" i="25"/>
  <c r="AF157" i="25"/>
  <c r="AF154" i="25"/>
  <c r="AF150" i="25"/>
  <c r="AF153" i="25"/>
  <c r="BI126" i="20"/>
  <c r="AR158" i="20"/>
  <c r="AR149" i="20"/>
  <c r="C8" i="20" s="1"/>
  <c r="AR154" i="20"/>
  <c r="AR163" i="20"/>
  <c r="AR152" i="20"/>
  <c r="AR150" i="20"/>
  <c r="AR156" i="20"/>
  <c r="AR160" i="20"/>
  <c r="AF163" i="23"/>
  <c r="AE163" i="23"/>
  <c r="AD158" i="23" s="1"/>
  <c r="AS163" i="23"/>
  <c r="AF159" i="23"/>
  <c r="AU159" i="23" s="1"/>
  <c r="AF158" i="23"/>
  <c r="AU158" i="23" s="1"/>
  <c r="AF156" i="23"/>
  <c r="AU156" i="23" s="1"/>
  <c r="AF160" i="23"/>
  <c r="AU160" i="23" s="1"/>
  <c r="AF155" i="23"/>
  <c r="AU155" i="23" s="1"/>
  <c r="AF154" i="23"/>
  <c r="AU154" i="23" s="1"/>
  <c r="AF161" i="23"/>
  <c r="AU161" i="23" s="1"/>
  <c r="AF162" i="23"/>
  <c r="AU162" i="23" s="1"/>
  <c r="AU164" i="23"/>
  <c r="AF157" i="23"/>
  <c r="AU157" i="23" s="1"/>
  <c r="AF153" i="23"/>
  <c r="AU153" i="23" s="1"/>
  <c r="S187" i="23"/>
  <c r="T186" i="23"/>
  <c r="BH200" i="23"/>
  <c r="AS184" i="23"/>
  <c r="V185" i="23"/>
  <c r="R186" i="23"/>
  <c r="AR153" i="20"/>
  <c r="BG197" i="3"/>
  <c r="AR162" i="20"/>
  <c r="AR159" i="20"/>
  <c r="AR161" i="20"/>
  <c r="AR151" i="20"/>
  <c r="AR155" i="20"/>
  <c r="AR157" i="20"/>
  <c r="AR167" i="20"/>
  <c r="AR168" i="20"/>
  <c r="S151" i="20"/>
  <c r="T150" i="20"/>
  <c r="AR166" i="20"/>
  <c r="AR164" i="20"/>
  <c r="AR165" i="20"/>
  <c r="X149" i="20" l="1"/>
  <c r="Z149" i="20" s="1"/>
  <c r="AW179" i="20"/>
  <c r="BQ131" i="36"/>
  <c r="BZ58" i="36"/>
  <c r="BZ60" i="36" s="1"/>
  <c r="CG90" i="36"/>
  <c r="BS90" i="36"/>
  <c r="BS99" i="36" s="1"/>
  <c r="BS131" i="36" s="1"/>
  <c r="BJ181" i="36"/>
  <c r="BK180" i="36"/>
  <c r="CA57" i="36" s="1"/>
  <c r="BS118" i="35"/>
  <c r="BS127" i="35" s="1"/>
  <c r="BS129" i="35" s="1"/>
  <c r="BZ86" i="35"/>
  <c r="BZ88" i="35" s="1"/>
  <c r="CG118" i="35"/>
  <c r="BQ129" i="35"/>
  <c r="BJ192" i="35"/>
  <c r="BK191" i="35"/>
  <c r="CA85" i="35" s="1"/>
  <c r="AD142" i="26"/>
  <c r="AC142" i="26" s="1"/>
  <c r="AS149" i="20"/>
  <c r="AD141" i="26"/>
  <c r="AC141" i="26" s="1"/>
  <c r="S159" i="30"/>
  <c r="T158" i="30"/>
  <c r="V157" i="30"/>
  <c r="R158" i="30"/>
  <c r="AD140" i="26"/>
  <c r="AC140" i="26" s="1"/>
  <c r="AD149" i="26"/>
  <c r="AC149" i="26" s="1"/>
  <c r="AD145" i="26"/>
  <c r="AC145" i="26" s="1"/>
  <c r="AD139" i="26"/>
  <c r="AC139" i="26" s="1"/>
  <c r="AD143" i="26"/>
  <c r="AC143" i="26" s="1"/>
  <c r="AD138" i="26"/>
  <c r="AC138" i="26" s="1"/>
  <c r="AD148" i="26"/>
  <c r="AC148" i="26" s="1"/>
  <c r="AD146" i="26"/>
  <c r="AC146" i="26" s="1"/>
  <c r="AD147" i="26"/>
  <c r="AC147" i="26" s="1"/>
  <c r="AC158" i="23"/>
  <c r="AU148" i="26"/>
  <c r="AH156" i="30"/>
  <c r="AD164" i="23"/>
  <c r="AC164" i="23" s="1"/>
  <c r="AV184" i="30"/>
  <c r="AE149" i="20"/>
  <c r="AD157" i="23"/>
  <c r="AC157" i="23" s="1"/>
  <c r="AD155" i="23"/>
  <c r="AC155" i="23" s="1"/>
  <c r="AD161" i="23"/>
  <c r="AC161" i="23" s="1"/>
  <c r="AD160" i="23"/>
  <c r="AC160" i="23" s="1"/>
  <c r="AD162" i="23"/>
  <c r="AC162" i="23" s="1"/>
  <c r="AD156" i="23"/>
  <c r="AC156" i="23" s="1"/>
  <c r="AD159" i="23"/>
  <c r="AC159" i="23" s="1"/>
  <c r="AD163" i="23"/>
  <c r="AC163" i="23" s="1"/>
  <c r="AU163" i="23"/>
  <c r="BG205" i="26"/>
  <c r="AD151" i="25"/>
  <c r="AC151" i="25" s="1"/>
  <c r="AD152" i="25"/>
  <c r="AC152" i="25" s="1"/>
  <c r="AD154" i="25"/>
  <c r="AC154" i="25" s="1"/>
  <c r="AU153" i="25"/>
  <c r="AD156" i="25"/>
  <c r="AC156" i="25" s="1"/>
  <c r="AD150" i="25"/>
  <c r="AC150" i="25" s="1"/>
  <c r="AD153" i="25"/>
  <c r="AC153" i="25" s="1"/>
  <c r="AU156" i="25"/>
  <c r="AD159" i="25"/>
  <c r="AC159" i="25" s="1"/>
  <c r="BG201" i="25"/>
  <c r="AD157" i="25"/>
  <c r="AC157" i="25" s="1"/>
  <c r="AU154" i="25"/>
  <c r="AD155" i="25"/>
  <c r="AC155" i="25" s="1"/>
  <c r="AU150" i="25"/>
  <c r="AU157" i="25"/>
  <c r="BI127" i="20"/>
  <c r="C185" i="20"/>
  <c r="AD153" i="23"/>
  <c r="AC153" i="23" s="1"/>
  <c r="AD154" i="23"/>
  <c r="AC154" i="23" s="1"/>
  <c r="BH201" i="23"/>
  <c r="R187" i="23"/>
  <c r="V186" i="23"/>
  <c r="AS185" i="23"/>
  <c r="S188" i="23"/>
  <c r="T187" i="23"/>
  <c r="BG198" i="3"/>
  <c r="S152" i="20"/>
  <c r="T151" i="20"/>
  <c r="V150" i="20"/>
  <c r="R151" i="20"/>
  <c r="O189" i="20" l="1"/>
  <c r="P189" i="20" s="1"/>
  <c r="Q189" i="20" s="1"/>
  <c r="AG185" i="20"/>
  <c r="AL185" i="20" s="1"/>
  <c r="AM185" i="20" s="1"/>
  <c r="AN185" i="20" s="1"/>
  <c r="CG89" i="36"/>
  <c r="BU89" i="36"/>
  <c r="BU99" i="36" s="1"/>
  <c r="BU131" i="36" s="1"/>
  <c r="CA58" i="36"/>
  <c r="CA60" i="36" s="1"/>
  <c r="BK181" i="36"/>
  <c r="CB57" i="36" s="1"/>
  <c r="BJ182" i="36"/>
  <c r="BJ193" i="35"/>
  <c r="BK192" i="35"/>
  <c r="CB85" i="35" s="1"/>
  <c r="CG117" i="35"/>
  <c r="BU117" i="35"/>
  <c r="BU127" i="35" s="1"/>
  <c r="BU129" i="35" s="1"/>
  <c r="CA86" i="35"/>
  <c r="CA88" i="35" s="1"/>
  <c r="AC137" i="26"/>
  <c r="AA138" i="26" s="1"/>
  <c r="AH157" i="30"/>
  <c r="R159" i="30"/>
  <c r="V158" i="30"/>
  <c r="S160" i="30"/>
  <c r="T159" i="30"/>
  <c r="J185" i="20"/>
  <c r="K185" i="20" s="1"/>
  <c r="L185" i="20" s="1"/>
  <c r="M185" i="20" s="1"/>
  <c r="N185" i="20" s="1"/>
  <c r="AV185" i="30"/>
  <c r="BG206" i="26"/>
  <c r="BG202" i="25"/>
  <c r="AC149" i="25"/>
  <c r="AA150" i="25" s="1"/>
  <c r="AG187" i="20"/>
  <c r="AL187" i="20" s="1"/>
  <c r="AM187" i="20" s="1"/>
  <c r="AN187" i="20" s="1"/>
  <c r="AG192" i="20"/>
  <c r="AI192" i="20" s="1"/>
  <c r="AJ192" i="20" s="1"/>
  <c r="AK192" i="20" s="1"/>
  <c r="O185" i="20"/>
  <c r="P185" i="20" s="1"/>
  <c r="O186" i="20"/>
  <c r="P186" i="20" s="1"/>
  <c r="Q186" i="20" s="1"/>
  <c r="AG186" i="20"/>
  <c r="AI186" i="20" s="1"/>
  <c r="AJ186" i="20" s="1"/>
  <c r="AK186" i="20" s="1"/>
  <c r="O192" i="20"/>
  <c r="P192" i="20" s="1"/>
  <c r="Q192" i="20" s="1"/>
  <c r="BI128" i="20"/>
  <c r="AG190" i="20"/>
  <c r="AL190" i="20" s="1"/>
  <c r="AM190" i="20" s="1"/>
  <c r="AN190" i="20" s="1"/>
  <c r="O188" i="20"/>
  <c r="P188" i="20" s="1"/>
  <c r="Q188" i="20" s="1"/>
  <c r="O187" i="20"/>
  <c r="P187" i="20" s="1"/>
  <c r="Q187" i="20" s="1"/>
  <c r="AG188" i="20"/>
  <c r="AL188" i="20" s="1"/>
  <c r="AM188" i="20" s="1"/>
  <c r="AN188" i="20" s="1"/>
  <c r="O190" i="20"/>
  <c r="P190" i="20" s="1"/>
  <c r="Q190" i="20" s="1"/>
  <c r="AG189" i="20"/>
  <c r="AI189" i="20" s="1"/>
  <c r="AJ189" i="20" s="1"/>
  <c r="AK189" i="20" s="1"/>
  <c r="O191" i="20"/>
  <c r="P191" i="20" s="1"/>
  <c r="Q191" i="20" s="1"/>
  <c r="AG191" i="20"/>
  <c r="AL191" i="20" s="1"/>
  <c r="AM191" i="20" s="1"/>
  <c r="AN191" i="20" s="1"/>
  <c r="AC152" i="23"/>
  <c r="AA153" i="23" s="1"/>
  <c r="AS186" i="23"/>
  <c r="V187" i="23"/>
  <c r="R188" i="23"/>
  <c r="T188" i="23"/>
  <c r="S189" i="23"/>
  <c r="BH202" i="23"/>
  <c r="BG199" i="3"/>
  <c r="AE150" i="20"/>
  <c r="AS150" i="20"/>
  <c r="R152" i="20"/>
  <c r="V151" i="20"/>
  <c r="S153" i="20"/>
  <c r="T152" i="20"/>
  <c r="CB58" i="36" l="1"/>
  <c r="CB60" i="36" s="1"/>
  <c r="CG88" i="36"/>
  <c r="BW88" i="36"/>
  <c r="BW99" i="36" s="1"/>
  <c r="BW131" i="36" s="1"/>
  <c r="BJ183" i="36"/>
  <c r="BK182" i="36"/>
  <c r="CC57" i="36" s="1"/>
  <c r="BW116" i="35"/>
  <c r="BW127" i="35" s="1"/>
  <c r="BW129" i="35" s="1"/>
  <c r="CG116" i="35"/>
  <c r="CB86" i="35"/>
  <c r="CB88" i="35" s="1"/>
  <c r="BK193" i="35"/>
  <c r="CC85" i="35" s="1"/>
  <c r="BJ194" i="35"/>
  <c r="AH158" i="30"/>
  <c r="S161" i="30"/>
  <c r="T160" i="30"/>
  <c r="R160" i="30"/>
  <c r="V159" i="30"/>
  <c r="Q185" i="20"/>
  <c r="S185" i="20" s="1"/>
  <c r="T185" i="20" s="1"/>
  <c r="V185" i="20" s="1"/>
  <c r="AS185" i="20" s="1"/>
  <c r="AI190" i="20"/>
  <c r="AJ190" i="20" s="1"/>
  <c r="AK190" i="20" s="1"/>
  <c r="AR190" i="20" s="1"/>
  <c r="AV186" i="30"/>
  <c r="AI185" i="20"/>
  <c r="AJ185" i="20" s="1"/>
  <c r="AL192" i="20"/>
  <c r="AM192" i="20" s="1"/>
  <c r="AN192" i="20" s="1"/>
  <c r="BG207" i="26"/>
  <c r="BG203" i="25"/>
  <c r="AL189" i="20"/>
  <c r="AM189" i="20" s="1"/>
  <c r="AN189" i="20" s="1"/>
  <c r="AR189" i="20" s="1"/>
  <c r="AI187" i="20"/>
  <c r="AJ187" i="20" s="1"/>
  <c r="AK187" i="20" s="1"/>
  <c r="AR187" i="20" s="1"/>
  <c r="AL186" i="20"/>
  <c r="AM186" i="20" s="1"/>
  <c r="AN186" i="20" s="1"/>
  <c r="AR186" i="20" s="1"/>
  <c r="BI129" i="20"/>
  <c r="AI188" i="20"/>
  <c r="AJ188" i="20" s="1"/>
  <c r="AK188" i="20" s="1"/>
  <c r="AR188" i="20" s="1"/>
  <c r="AI191" i="20"/>
  <c r="AJ191" i="20" s="1"/>
  <c r="AK191" i="20" s="1"/>
  <c r="AR191" i="20" s="1"/>
  <c r="S190" i="23"/>
  <c r="T189" i="23"/>
  <c r="BH203" i="23"/>
  <c r="AS187" i="23"/>
  <c r="R189" i="23"/>
  <c r="V188" i="23"/>
  <c r="BG200" i="3"/>
  <c r="S154" i="20"/>
  <c r="T153" i="20"/>
  <c r="V152" i="20"/>
  <c r="R153" i="20"/>
  <c r="AS151" i="20"/>
  <c r="AE151" i="20"/>
  <c r="AK185" i="20" l="1"/>
  <c r="AR185" i="20" s="1"/>
  <c r="CG87" i="36"/>
  <c r="CG99" i="36" s="1"/>
  <c r="CG131" i="36" s="1"/>
  <c r="CB53" i="36"/>
  <c r="BY87" i="36"/>
  <c r="BY99" i="36" s="1"/>
  <c r="BY131" i="36" s="1"/>
  <c r="CD53" i="36"/>
  <c r="CC58" i="36"/>
  <c r="CC60" i="36" s="1"/>
  <c r="BK183" i="36"/>
  <c r="CD57" i="36" s="1"/>
  <c r="BJ184" i="36"/>
  <c r="BJ195" i="35"/>
  <c r="BK194" i="35"/>
  <c r="CD85" i="35" s="1"/>
  <c r="CG115" i="35"/>
  <c r="CG127" i="35" s="1"/>
  <c r="CG129" i="35" s="1"/>
  <c r="CC86" i="35"/>
  <c r="CC88" i="35" s="1"/>
  <c r="BY115" i="35"/>
  <c r="BY127" i="35" s="1"/>
  <c r="BY129" i="35" s="1"/>
  <c r="CD81" i="35"/>
  <c r="CB81" i="35"/>
  <c r="AH159" i="30"/>
  <c r="V160" i="30"/>
  <c r="R161" i="30"/>
  <c r="S162" i="30"/>
  <c r="T161" i="30"/>
  <c r="R186" i="20"/>
  <c r="S186" i="20" s="1"/>
  <c r="T186" i="20" s="1"/>
  <c r="R187" i="20" s="1"/>
  <c r="AV187" i="30"/>
  <c r="AR192" i="20"/>
  <c r="BG208" i="26"/>
  <c r="BG204" i="25"/>
  <c r="BI130" i="20"/>
  <c r="S191" i="23"/>
  <c r="T190" i="23"/>
  <c r="V189" i="23"/>
  <c r="R190" i="23"/>
  <c r="AS188" i="23"/>
  <c r="BH204" i="23"/>
  <c r="BG201" i="3"/>
  <c r="AE152" i="20"/>
  <c r="AS152" i="20"/>
  <c r="R154" i="20"/>
  <c r="V153" i="20"/>
  <c r="S155" i="20"/>
  <c r="T154" i="20"/>
  <c r="CF52" i="36" l="1"/>
  <c r="BR86" i="36"/>
  <c r="BR99" i="36" s="1"/>
  <c r="CP86" i="36"/>
  <c r="CD58" i="36"/>
  <c r="CD60" i="36" s="1"/>
  <c r="CB52" i="36"/>
  <c r="BJ185" i="36"/>
  <c r="BK184" i="36"/>
  <c r="CE57" i="36" s="1"/>
  <c r="BR114" i="35"/>
  <c r="BR127" i="35" s="1"/>
  <c r="CD86" i="35"/>
  <c r="CD88" i="35" s="1"/>
  <c r="CF80" i="35"/>
  <c r="CB80" i="35"/>
  <c r="CP114" i="35"/>
  <c r="BK195" i="35"/>
  <c r="CE85" i="35" s="1"/>
  <c r="BJ196" i="35"/>
  <c r="S163" i="30"/>
  <c r="T163" i="30" s="1"/>
  <c r="V163" i="30" s="1"/>
  <c r="T162" i="30"/>
  <c r="R162" i="30"/>
  <c r="V161" i="30"/>
  <c r="AH160" i="30"/>
  <c r="V186" i="20"/>
  <c r="S187" i="20"/>
  <c r="S188" i="20" s="1"/>
  <c r="T188" i="20" s="1"/>
  <c r="AV188" i="30"/>
  <c r="BG209" i="26"/>
  <c r="BG205" i="25"/>
  <c r="BI131" i="20"/>
  <c r="V190" i="23"/>
  <c r="R191" i="23"/>
  <c r="S192" i="23"/>
  <c r="T191" i="23"/>
  <c r="BH205" i="23"/>
  <c r="AS189" i="23"/>
  <c r="BG202" i="3"/>
  <c r="V154" i="20"/>
  <c r="R155" i="20"/>
  <c r="T155" i="20"/>
  <c r="S156" i="20"/>
  <c r="AS153" i="20"/>
  <c r="AE153" i="20"/>
  <c r="S189" i="20" l="1"/>
  <c r="T189" i="20" s="1"/>
  <c r="BK185" i="36"/>
  <c r="CF57" i="36" s="1"/>
  <c r="BJ186" i="36"/>
  <c r="BR131" i="36"/>
  <c r="CP85" i="36"/>
  <c r="CB51" i="36"/>
  <c r="BT85" i="36"/>
  <c r="BT99" i="36" s="1"/>
  <c r="BT131" i="36" s="1"/>
  <c r="CE58" i="36"/>
  <c r="CE60" i="36" s="1"/>
  <c r="CH51" i="36"/>
  <c r="BJ197" i="35"/>
  <c r="BK196" i="35"/>
  <c r="CF85" i="35" s="1"/>
  <c r="CP113" i="35"/>
  <c r="BT113" i="35"/>
  <c r="BT127" i="35" s="1"/>
  <c r="BT129" i="35" s="1"/>
  <c r="CH79" i="35"/>
  <c r="CE86" i="35"/>
  <c r="CE88" i="35" s="1"/>
  <c r="CB79" i="35"/>
  <c r="BR129" i="35"/>
  <c r="AS186" i="20"/>
  <c r="R163" i="30"/>
  <c r="V162" i="30"/>
  <c r="X138" i="30" s="1"/>
  <c r="AH163" i="30"/>
  <c r="X163" i="30"/>
  <c r="AH161" i="30"/>
  <c r="T187" i="20"/>
  <c r="V187" i="20" s="1"/>
  <c r="AV189" i="30"/>
  <c r="R189" i="20"/>
  <c r="V188" i="20"/>
  <c r="BG210" i="26"/>
  <c r="BG206" i="25"/>
  <c r="BI132" i="20"/>
  <c r="R192" i="23"/>
  <c r="V191" i="23"/>
  <c r="T192" i="23"/>
  <c r="S193" i="23"/>
  <c r="BH206" i="23"/>
  <c r="AS190" i="23"/>
  <c r="BG203" i="3"/>
  <c r="AE154" i="20"/>
  <c r="AS154" i="20"/>
  <c r="S157" i="20"/>
  <c r="T156" i="20"/>
  <c r="R156" i="20"/>
  <c r="V155" i="20"/>
  <c r="S190" i="20" l="1"/>
  <c r="S191" i="20" s="1"/>
  <c r="BJ187" i="36"/>
  <c r="BK186" i="36"/>
  <c r="CG57" i="36" s="1"/>
  <c r="CF58" i="36"/>
  <c r="CF60" i="36" s="1"/>
  <c r="CP84" i="36"/>
  <c r="CJ50" i="36"/>
  <c r="CB50" i="36"/>
  <c r="BV84" i="36"/>
  <c r="BV99" i="36" s="1"/>
  <c r="BV131" i="36" s="1"/>
  <c r="BV112" i="35"/>
  <c r="BV127" i="35" s="1"/>
  <c r="BV129" i="35" s="1"/>
  <c r="CJ78" i="35"/>
  <c r="CF86" i="35"/>
  <c r="CF88" i="35" s="1"/>
  <c r="CP112" i="35"/>
  <c r="CB78" i="35"/>
  <c r="BJ198" i="35"/>
  <c r="BK197" i="35"/>
  <c r="CG85" i="35" s="1"/>
  <c r="AS187" i="20"/>
  <c r="R188" i="20"/>
  <c r="X154" i="30"/>
  <c r="AI154" i="30" s="1"/>
  <c r="AK154" i="30" s="1"/>
  <c r="AM154" i="30" s="1"/>
  <c r="X146" i="30"/>
  <c r="AI146" i="30" s="1"/>
  <c r="AK146" i="30" s="1"/>
  <c r="AM146" i="30" s="1"/>
  <c r="X150" i="30"/>
  <c r="AI150" i="30" s="1"/>
  <c r="AK150" i="30" s="1"/>
  <c r="AM150" i="30" s="1"/>
  <c r="X161" i="30"/>
  <c r="AI161" i="30" s="1"/>
  <c r="X148" i="30"/>
  <c r="AI148" i="30" s="1"/>
  <c r="AK148" i="30" s="1"/>
  <c r="AM148" i="30" s="1"/>
  <c r="X157" i="30"/>
  <c r="AI157" i="30" s="1"/>
  <c r="AK157" i="30" s="1"/>
  <c r="AM157" i="30" s="1"/>
  <c r="X153" i="30"/>
  <c r="AI153" i="30" s="1"/>
  <c r="AK153" i="30" s="1"/>
  <c r="AM153" i="30" s="1"/>
  <c r="X140" i="30"/>
  <c r="AI140" i="30" s="1"/>
  <c r="AJ140" i="30" s="1"/>
  <c r="AL140" i="30" s="1"/>
  <c r="AN140" i="30" s="1"/>
  <c r="X143" i="30"/>
  <c r="AI143" i="30" s="1"/>
  <c r="AJ143" i="30" s="1"/>
  <c r="AL143" i="30" s="1"/>
  <c r="AN143" i="30" s="1"/>
  <c r="X139" i="30"/>
  <c r="AI139" i="30" s="1"/>
  <c r="AJ139" i="30" s="1"/>
  <c r="AL139" i="30" s="1"/>
  <c r="AN139" i="30" s="1"/>
  <c r="X159" i="30"/>
  <c r="AI159" i="30" s="1"/>
  <c r="AJ159" i="30" s="1"/>
  <c r="AL159" i="30" s="1"/>
  <c r="AN159" i="30" s="1"/>
  <c r="X152" i="30"/>
  <c r="AI152" i="30" s="1"/>
  <c r="AK152" i="30" s="1"/>
  <c r="AM152" i="30" s="1"/>
  <c r="X151" i="30"/>
  <c r="AI151" i="30" s="1"/>
  <c r="AJ151" i="30" s="1"/>
  <c r="AL151" i="30" s="1"/>
  <c r="AN151" i="30" s="1"/>
  <c r="X145" i="30"/>
  <c r="AI145" i="30" s="1"/>
  <c r="AJ145" i="30" s="1"/>
  <c r="AL145" i="30" s="1"/>
  <c r="AN145" i="30" s="1"/>
  <c r="X141" i="30"/>
  <c r="AI141" i="30" s="1"/>
  <c r="AK141" i="30" s="1"/>
  <c r="AM141" i="30" s="1"/>
  <c r="X156" i="30"/>
  <c r="AI156" i="30" s="1"/>
  <c r="AJ156" i="30" s="1"/>
  <c r="AL156" i="30" s="1"/>
  <c r="AN156" i="30" s="1"/>
  <c r="X155" i="30"/>
  <c r="AI155" i="30" s="1"/>
  <c r="AJ155" i="30" s="1"/>
  <c r="AL155" i="30" s="1"/>
  <c r="AN155" i="30" s="1"/>
  <c r="X149" i="30"/>
  <c r="AI149" i="30" s="1"/>
  <c r="AK149" i="30" s="1"/>
  <c r="AM149" i="30" s="1"/>
  <c r="X147" i="30"/>
  <c r="AI147" i="30" s="1"/>
  <c r="AJ147" i="30" s="1"/>
  <c r="AL147" i="30" s="1"/>
  <c r="AN147" i="30" s="1"/>
  <c r="X142" i="30"/>
  <c r="AI142" i="30" s="1"/>
  <c r="AK142" i="30" s="1"/>
  <c r="AM142" i="30" s="1"/>
  <c r="AJ148" i="30"/>
  <c r="AL148" i="30" s="1"/>
  <c r="AN148" i="30" s="1"/>
  <c r="X162" i="30"/>
  <c r="AH162" i="30"/>
  <c r="X158" i="30"/>
  <c r="AI158" i="30" s="1"/>
  <c r="X144" i="30"/>
  <c r="AI144" i="30" s="1"/>
  <c r="X133" i="30"/>
  <c r="C15" i="30" s="1"/>
  <c r="AI138" i="30"/>
  <c r="AI163" i="30"/>
  <c r="X160" i="30"/>
  <c r="AI160" i="30" s="1"/>
  <c r="AV190" i="30"/>
  <c r="R190" i="20"/>
  <c r="V189" i="20"/>
  <c r="AS188" i="20"/>
  <c r="BG211" i="26"/>
  <c r="BG207" i="25"/>
  <c r="BI133" i="20"/>
  <c r="T193" i="23"/>
  <c r="S194" i="23"/>
  <c r="R193" i="23"/>
  <c r="V192" i="23"/>
  <c r="BH207" i="23"/>
  <c r="AS191" i="23"/>
  <c r="BG204" i="3"/>
  <c r="T157" i="20"/>
  <c r="S158" i="20"/>
  <c r="AS155" i="20"/>
  <c r="AE155" i="20"/>
  <c r="V156" i="20"/>
  <c r="R157" i="20"/>
  <c r="T190" i="20" l="1"/>
  <c r="R191" i="20" s="1"/>
  <c r="AK151" i="30"/>
  <c r="AM151" i="30" s="1"/>
  <c r="AK155" i="30"/>
  <c r="AM155" i="30" s="1"/>
  <c r="F155" i="30" s="1"/>
  <c r="AJ154" i="30"/>
  <c r="AL154" i="30" s="1"/>
  <c r="AN154" i="30" s="1"/>
  <c r="AJ153" i="30"/>
  <c r="AL153" i="30" s="1"/>
  <c r="AN153" i="30" s="1"/>
  <c r="AJ150" i="30"/>
  <c r="AL150" i="30" s="1"/>
  <c r="AN150" i="30" s="1"/>
  <c r="AJ146" i="30"/>
  <c r="AL146" i="30" s="1"/>
  <c r="AN146" i="30" s="1"/>
  <c r="AK140" i="30"/>
  <c r="AM140" i="30" s="1"/>
  <c r="AO140" i="30" s="1"/>
  <c r="AK156" i="30"/>
  <c r="AM156" i="30" s="1"/>
  <c r="AO156" i="30" s="1"/>
  <c r="BX83" i="36"/>
  <c r="BX99" i="36" s="1"/>
  <c r="CG58" i="36"/>
  <c r="CG60" i="36" s="1"/>
  <c r="CP83" i="36"/>
  <c r="CL49" i="36"/>
  <c r="CB49" i="36"/>
  <c r="BJ188" i="36"/>
  <c r="BK187" i="36"/>
  <c r="CH57" i="36" s="1"/>
  <c r="CP111" i="35"/>
  <c r="CG86" i="35"/>
  <c r="CG88" i="35" s="1"/>
  <c r="CL77" i="35"/>
  <c r="BX111" i="35"/>
  <c r="BX127" i="35" s="1"/>
  <c r="CB77" i="35"/>
  <c r="BK198" i="35"/>
  <c r="CH85" i="35" s="1"/>
  <c r="BJ199" i="35"/>
  <c r="AK159" i="30"/>
  <c r="AM159" i="30" s="1"/>
  <c r="AO159" i="30" s="1"/>
  <c r="AK143" i="30"/>
  <c r="AM143" i="30" s="1"/>
  <c r="AO143" i="30" s="1"/>
  <c r="AJ141" i="30"/>
  <c r="AL141" i="30" s="1"/>
  <c r="AN141" i="30" s="1"/>
  <c r="AK147" i="30"/>
  <c r="AM147" i="30" s="1"/>
  <c r="AO147" i="30" s="1"/>
  <c r="AK139" i="30"/>
  <c r="AM139" i="30" s="1"/>
  <c r="F139" i="30" s="1"/>
  <c r="AK145" i="30"/>
  <c r="AM145" i="30" s="1"/>
  <c r="F145" i="30" s="1"/>
  <c r="AJ149" i="30"/>
  <c r="AL149" i="30" s="1"/>
  <c r="AN149" i="30" s="1"/>
  <c r="AJ157" i="30"/>
  <c r="AL157" i="30" s="1"/>
  <c r="AN157" i="30" s="1"/>
  <c r="AJ142" i="30"/>
  <c r="AL142" i="30" s="1"/>
  <c r="AN142" i="30" s="1"/>
  <c r="AJ152" i="30"/>
  <c r="AL152" i="30" s="1"/>
  <c r="AN152" i="30" s="1"/>
  <c r="AI162" i="30"/>
  <c r="AK162" i="30" s="1"/>
  <c r="AM162" i="30" s="1"/>
  <c r="AO149" i="30"/>
  <c r="F149" i="30"/>
  <c r="AK160" i="30"/>
  <c r="AM160" i="30" s="1"/>
  <c r="AJ160" i="30"/>
  <c r="AL160" i="30" s="1"/>
  <c r="AN160" i="30" s="1"/>
  <c r="AO152" i="30"/>
  <c r="F152" i="30"/>
  <c r="AJ138" i="30"/>
  <c r="AL138" i="30" s="1"/>
  <c r="AN138" i="30" s="1"/>
  <c r="AK138" i="30"/>
  <c r="AM138" i="30" s="1"/>
  <c r="AO155" i="30"/>
  <c r="F153" i="30"/>
  <c r="AO153" i="30"/>
  <c r="AO157" i="30"/>
  <c r="F157" i="30"/>
  <c r="AK158" i="30"/>
  <c r="AM158" i="30" s="1"/>
  <c r="AJ158" i="30"/>
  <c r="AL158" i="30" s="1"/>
  <c r="AN158" i="30" s="1"/>
  <c r="AK163" i="30"/>
  <c r="AM163" i="30" s="1"/>
  <c r="AJ163" i="30"/>
  <c r="AL163" i="30" s="1"/>
  <c r="AN163" i="30" s="1"/>
  <c r="F146" i="30"/>
  <c r="AO146" i="30"/>
  <c r="C10" i="30"/>
  <c r="D10" i="30"/>
  <c r="C5" i="30"/>
  <c r="D3" i="30"/>
  <c r="AW190" i="30" s="1"/>
  <c r="AX190" i="30" s="1"/>
  <c r="C3" i="30"/>
  <c r="F151" i="30"/>
  <c r="AO151" i="30"/>
  <c r="AO154" i="30"/>
  <c r="F154" i="30"/>
  <c r="F141" i="30"/>
  <c r="AO141" i="30"/>
  <c r="AO142" i="30"/>
  <c r="F142" i="30"/>
  <c r="AJ144" i="30"/>
  <c r="AL144" i="30" s="1"/>
  <c r="AN144" i="30" s="1"/>
  <c r="AK144" i="30"/>
  <c r="AM144" i="30" s="1"/>
  <c r="F148" i="30"/>
  <c r="AO148" i="30"/>
  <c r="AK161" i="30"/>
  <c r="AM161" i="30" s="1"/>
  <c r="AJ161" i="30"/>
  <c r="AL161" i="30" s="1"/>
  <c r="AN161" i="30" s="1"/>
  <c r="AO150" i="30"/>
  <c r="F150" i="30"/>
  <c r="AV191" i="30"/>
  <c r="AS189" i="20"/>
  <c r="BG212" i="26"/>
  <c r="BG208" i="25"/>
  <c r="BI134" i="20"/>
  <c r="T194" i="23"/>
  <c r="S195" i="23"/>
  <c r="BH208" i="23"/>
  <c r="R194" i="23"/>
  <c r="V193" i="23"/>
  <c r="AS192" i="23"/>
  <c r="BG205" i="3"/>
  <c r="S159" i="20"/>
  <c r="T158" i="20"/>
  <c r="T191" i="20"/>
  <c r="S192" i="20"/>
  <c r="AE156" i="20"/>
  <c r="AS156" i="20"/>
  <c r="R158" i="20"/>
  <c r="V157" i="20"/>
  <c r="V190" i="20" l="1"/>
  <c r="AS190" i="20" s="1"/>
  <c r="F140" i="30"/>
  <c r="F156" i="30"/>
  <c r="AJ162" i="30"/>
  <c r="AL162" i="30" s="1"/>
  <c r="AN162" i="30" s="1"/>
  <c r="AO139" i="30"/>
  <c r="AO145" i="30"/>
  <c r="F143" i="30"/>
  <c r="F147" i="30"/>
  <c r="F159" i="30"/>
  <c r="CB48" i="36"/>
  <c r="CP82" i="36"/>
  <c r="BZ82" i="36"/>
  <c r="BZ99" i="36" s="1"/>
  <c r="CH58" i="36"/>
  <c r="CH60" i="36" s="1"/>
  <c r="CN48" i="36"/>
  <c r="BJ189" i="36"/>
  <c r="BK188" i="36"/>
  <c r="CI57" i="36" s="1"/>
  <c r="BX131" i="36"/>
  <c r="BJ200" i="35"/>
  <c r="BK199" i="35"/>
  <c r="CI85" i="35" s="1"/>
  <c r="BX129" i="35"/>
  <c r="BZ110" i="35"/>
  <c r="BZ127" i="35" s="1"/>
  <c r="BZ129" i="35" s="1"/>
  <c r="CH86" i="35"/>
  <c r="CH88" i="35" s="1"/>
  <c r="CN76" i="35"/>
  <c r="CB76" i="35"/>
  <c r="CP110" i="35"/>
  <c r="AO162" i="30"/>
  <c r="F162" i="30"/>
  <c r="AO158" i="30"/>
  <c r="F158" i="30"/>
  <c r="AO161" i="30"/>
  <c r="F161" i="30"/>
  <c r="AW179" i="30"/>
  <c r="AX179" i="30" s="1"/>
  <c r="AW165" i="30"/>
  <c r="AX165" i="30" s="1"/>
  <c r="BQ54" i="30"/>
  <c r="J14" i="30" s="1"/>
  <c r="D5" i="30"/>
  <c r="AW169" i="30"/>
  <c r="AX169" i="30" s="1"/>
  <c r="AW170" i="30"/>
  <c r="AX170" i="30" s="1"/>
  <c r="AW184" i="30"/>
  <c r="AX184" i="30" s="1"/>
  <c r="J54" i="30"/>
  <c r="AW171" i="30"/>
  <c r="AX171" i="30" s="1"/>
  <c r="AW183" i="30"/>
  <c r="AX183" i="30" s="1"/>
  <c r="AW182" i="30"/>
  <c r="AX182" i="30" s="1"/>
  <c r="AW164" i="30"/>
  <c r="AX164" i="30" s="1"/>
  <c r="AW173" i="30"/>
  <c r="AX173" i="30" s="1"/>
  <c r="AW166" i="30"/>
  <c r="AX166" i="30" s="1"/>
  <c r="AW167" i="30"/>
  <c r="AX167" i="30" s="1"/>
  <c r="AW177" i="30"/>
  <c r="AX177" i="30" s="1"/>
  <c r="AW178" i="30"/>
  <c r="AX178" i="30" s="1"/>
  <c r="AW186" i="30"/>
  <c r="AX186" i="30" s="1"/>
  <c r="AW168" i="30"/>
  <c r="AX168" i="30" s="1"/>
  <c r="AW162" i="30"/>
  <c r="L54" i="30"/>
  <c r="AW185" i="30"/>
  <c r="AX185" i="30" s="1"/>
  <c r="AW163" i="30"/>
  <c r="AX163" i="30" s="1"/>
  <c r="AW176" i="30"/>
  <c r="AX176" i="30" s="1"/>
  <c r="AW181" i="30"/>
  <c r="AX181" i="30" s="1"/>
  <c r="AW174" i="30"/>
  <c r="AX174" i="30" s="1"/>
  <c r="AW175" i="30"/>
  <c r="AX175" i="30" s="1"/>
  <c r="AW172" i="30"/>
  <c r="AX172" i="30" s="1"/>
  <c r="AW180" i="30"/>
  <c r="AX180" i="30" s="1"/>
  <c r="CF57" i="30"/>
  <c r="CO54" i="30"/>
  <c r="L14" i="30" s="1"/>
  <c r="BQ57" i="30"/>
  <c r="AW187" i="30"/>
  <c r="AX187" i="30" s="1"/>
  <c r="AW188" i="30"/>
  <c r="AX188" i="30" s="1"/>
  <c r="AW189" i="30"/>
  <c r="AX189" i="30" s="1"/>
  <c r="F138" i="30"/>
  <c r="AO138" i="30"/>
  <c r="BB80" i="30" s="1"/>
  <c r="BC80" i="30" s="1"/>
  <c r="AO144" i="30"/>
  <c r="F144" i="30"/>
  <c r="AO163" i="30"/>
  <c r="F163" i="30"/>
  <c r="AO160" i="30"/>
  <c r="F160" i="30"/>
  <c r="AW191" i="30"/>
  <c r="AX191" i="30" s="1"/>
  <c r="AV192" i="30"/>
  <c r="R192" i="20"/>
  <c r="V191" i="20"/>
  <c r="BG213" i="26"/>
  <c r="BG209" i="25"/>
  <c r="BI135" i="20"/>
  <c r="BH209" i="23"/>
  <c r="AS193" i="23"/>
  <c r="S196" i="23"/>
  <c r="T195" i="23"/>
  <c r="R195" i="23"/>
  <c r="V194" i="23"/>
  <c r="BG206" i="3"/>
  <c r="AS157" i="20"/>
  <c r="AE157" i="20"/>
  <c r="V158" i="20"/>
  <c r="R159" i="20"/>
  <c r="S160" i="20"/>
  <c r="T159" i="20"/>
  <c r="T192" i="20"/>
  <c r="V192" i="20" s="1"/>
  <c r="AF192" i="20" s="1"/>
  <c r="CB81" i="36" l="1"/>
  <c r="CI58" i="36"/>
  <c r="CI60" i="36" s="1"/>
  <c r="CP47" i="36"/>
  <c r="CB47" i="36"/>
  <c r="CP81" i="36"/>
  <c r="CP99" i="36" s="1"/>
  <c r="CP131" i="36" s="1"/>
  <c r="BZ131" i="36"/>
  <c r="H42" i="36"/>
  <c r="H43" i="36" s="1"/>
  <c r="BJ190" i="36"/>
  <c r="BK189" i="36"/>
  <c r="CJ57" i="36" s="1"/>
  <c r="BK200" i="35"/>
  <c r="CJ85" i="35" s="1"/>
  <c r="BJ201" i="35"/>
  <c r="CP109" i="35"/>
  <c r="CP127" i="35" s="1"/>
  <c r="CP129" i="35" s="1"/>
  <c r="CB109" i="35"/>
  <c r="CP75" i="35"/>
  <c r="CI86" i="35"/>
  <c r="CI88" i="35" s="1"/>
  <c r="CB75" i="35"/>
  <c r="H42" i="35"/>
  <c r="H43" i="35" s="1"/>
  <c r="AF186" i="20"/>
  <c r="AU186" i="20" s="1"/>
  <c r="AF187" i="20"/>
  <c r="AU187" i="20" s="1"/>
  <c r="AF191" i="20"/>
  <c r="AF189" i="20"/>
  <c r="AU189" i="20" s="1"/>
  <c r="AW189" i="20" s="1"/>
  <c r="AY189" i="20" s="1"/>
  <c r="AF190" i="20"/>
  <c r="AU190" i="20" s="1"/>
  <c r="AF188" i="20"/>
  <c r="AU188" i="20" s="1"/>
  <c r="BB56" i="30"/>
  <c r="BC56" i="30" s="1"/>
  <c r="BD57" i="30"/>
  <c r="BB57" i="30" s="1"/>
  <c r="BC57" i="30" s="1"/>
  <c r="AX162" i="30"/>
  <c r="BA131" i="30"/>
  <c r="J55" i="30"/>
  <c r="BF51" i="30"/>
  <c r="J8" i="30" s="1"/>
  <c r="CD51" i="30"/>
  <c r="L55" i="30"/>
  <c r="L12" i="30"/>
  <c r="K12" i="30"/>
  <c r="J12" i="30"/>
  <c r="BB53" i="30"/>
  <c r="BC53" i="30" s="1"/>
  <c r="T196" i="23"/>
  <c r="S197" i="23"/>
  <c r="AV193" i="30"/>
  <c r="AW192" i="30"/>
  <c r="AX192" i="30" s="1"/>
  <c r="AS192" i="20"/>
  <c r="AS191" i="20"/>
  <c r="T181" i="20"/>
  <c r="AF185" i="20"/>
  <c r="AU185" i="20" s="1"/>
  <c r="AW185" i="20" s="1"/>
  <c r="AF159" i="26"/>
  <c r="BG214" i="26"/>
  <c r="T155" i="26"/>
  <c r="BG210" i="25"/>
  <c r="BI136" i="20"/>
  <c r="AS194" i="23"/>
  <c r="BH210" i="23"/>
  <c r="V195" i="23"/>
  <c r="R196" i="23"/>
  <c r="BG207" i="3"/>
  <c r="S161" i="20"/>
  <c r="T160" i="20"/>
  <c r="AE158" i="20"/>
  <c r="AS158" i="20"/>
  <c r="R160" i="20"/>
  <c r="V159" i="20"/>
  <c r="L6" i="30" l="1"/>
  <c r="L7" i="30" s="1"/>
  <c r="L8" i="30"/>
  <c r="BK190" i="36"/>
  <c r="CK57" i="36" s="1"/>
  <c r="BJ191" i="36"/>
  <c r="J42" i="36"/>
  <c r="K42" i="36"/>
  <c r="CJ58" i="36"/>
  <c r="CJ60" i="36" s="1"/>
  <c r="CR46" i="36"/>
  <c r="CR80" i="36"/>
  <c r="CR99" i="36" s="1"/>
  <c r="CR131" i="36" s="1"/>
  <c r="CB46" i="36"/>
  <c r="CB55" i="36" s="1"/>
  <c r="CB80" i="36"/>
  <c r="K131" i="36"/>
  <c r="K131" i="35"/>
  <c r="J42" i="35"/>
  <c r="K42" i="35"/>
  <c r="BJ202" i="35"/>
  <c r="BK201" i="35"/>
  <c r="CK85" i="35" s="1"/>
  <c r="CB108" i="35"/>
  <c r="CR74" i="35"/>
  <c r="CB74" i="35"/>
  <c r="CB83" i="35" s="1"/>
  <c r="CR108" i="35"/>
  <c r="CR127" i="35" s="1"/>
  <c r="CR129" i="35" s="1"/>
  <c r="CJ86" i="35"/>
  <c r="CJ88" i="35" s="1"/>
  <c r="M126" i="30"/>
  <c r="J13" i="30"/>
  <c r="K13" i="30"/>
  <c r="H23" i="30"/>
  <c r="H16" i="30"/>
  <c r="D133" i="30"/>
  <c r="D131" i="30"/>
  <c r="L13" i="30"/>
  <c r="K6" i="30"/>
  <c r="BB50" i="30"/>
  <c r="BC50" i="30" s="1"/>
  <c r="J6" i="30"/>
  <c r="V196" i="23"/>
  <c r="R197" i="23"/>
  <c r="S198" i="23"/>
  <c r="T197" i="23"/>
  <c r="AU192" i="20"/>
  <c r="AW192" i="20" s="1"/>
  <c r="AY192" i="20" s="1"/>
  <c r="AV189" i="20"/>
  <c r="AX189" i="20" s="1"/>
  <c r="BA189" i="20" s="1"/>
  <c r="AU191" i="20"/>
  <c r="AV191" i="20" s="1"/>
  <c r="AX191" i="20" s="1"/>
  <c r="BA191" i="20" s="1"/>
  <c r="AW193" i="30"/>
  <c r="AX193" i="30" s="1"/>
  <c r="AV194" i="30"/>
  <c r="AV185" i="20"/>
  <c r="AX185" i="20" s="1"/>
  <c r="BA185" i="20" s="1"/>
  <c r="AW186" i="20"/>
  <c r="AY186" i="20" s="1"/>
  <c r="AV186" i="20"/>
  <c r="AX186" i="20" s="1"/>
  <c r="BA186" i="20" s="1"/>
  <c r="AW188" i="20"/>
  <c r="AY188" i="20" s="1"/>
  <c r="AV188" i="20"/>
  <c r="AX188" i="20" s="1"/>
  <c r="BA188" i="20" s="1"/>
  <c r="AV187" i="20"/>
  <c r="AX187" i="20" s="1"/>
  <c r="BA187" i="20" s="1"/>
  <c r="AW187" i="20"/>
  <c r="AY187" i="20" s="1"/>
  <c r="AV190" i="20"/>
  <c r="AX190" i="20" s="1"/>
  <c r="BA190" i="20" s="1"/>
  <c r="AW190" i="20"/>
  <c r="AY190" i="20" s="1"/>
  <c r="BB189" i="20"/>
  <c r="AB189" i="20"/>
  <c r="BC189" i="20"/>
  <c r="G189" i="20" s="1"/>
  <c r="F189" i="20" s="1"/>
  <c r="AF161" i="26"/>
  <c r="AU161" i="26" s="1"/>
  <c r="AV161" i="26" s="1"/>
  <c r="AX161" i="26" s="1"/>
  <c r="AZ161" i="26" s="1"/>
  <c r="AF163" i="26"/>
  <c r="AU163" i="26" s="1"/>
  <c r="AW163" i="26" s="1"/>
  <c r="AY163" i="26" s="1"/>
  <c r="AB163" i="26" s="1"/>
  <c r="AU159" i="26"/>
  <c r="AO147" i="26"/>
  <c r="AT147" i="26" s="1"/>
  <c r="AO149" i="26"/>
  <c r="AT149" i="26" s="1"/>
  <c r="AO142" i="26"/>
  <c r="AT142" i="26" s="1"/>
  <c r="AO145" i="26"/>
  <c r="AT145" i="26" s="1"/>
  <c r="AO144" i="26"/>
  <c r="AT144" i="26" s="1"/>
  <c r="AO148" i="26"/>
  <c r="AT148" i="26" s="1"/>
  <c r="AO146" i="26"/>
  <c r="AT146" i="26" s="1"/>
  <c r="AO143" i="26"/>
  <c r="AT143" i="26" s="1"/>
  <c r="AO140" i="26"/>
  <c r="AT140" i="26" s="1"/>
  <c r="AO139" i="26"/>
  <c r="AT139" i="26" s="1"/>
  <c r="AO141" i="26"/>
  <c r="AT141" i="26" s="1"/>
  <c r="AO138" i="26"/>
  <c r="AO134" i="26" s="1"/>
  <c r="C9" i="26" s="1"/>
  <c r="BG215" i="26"/>
  <c r="AF162" i="26"/>
  <c r="AU162" i="26" s="1"/>
  <c r="AF164" i="26"/>
  <c r="AU164" i="26" s="1"/>
  <c r="AF160" i="26"/>
  <c r="AU160" i="26" s="1"/>
  <c r="AF175" i="25"/>
  <c r="AU175" i="25" s="1"/>
  <c r="BG211" i="25"/>
  <c r="T169" i="25"/>
  <c r="BI137" i="20"/>
  <c r="AS195" i="23"/>
  <c r="BH211" i="23"/>
  <c r="BG208" i="3"/>
  <c r="V160" i="20"/>
  <c r="R161" i="20"/>
  <c r="S162" i="20"/>
  <c r="T161" i="20"/>
  <c r="AS159" i="20"/>
  <c r="AE159" i="20"/>
  <c r="AX179" i="20" l="1"/>
  <c r="K43" i="36"/>
  <c r="J43" i="36"/>
  <c r="BJ195" i="36"/>
  <c r="BK191" i="36"/>
  <c r="CL57" i="36" s="1"/>
  <c r="CB79" i="36"/>
  <c r="CR45" i="36"/>
  <c r="CT79" i="36"/>
  <c r="CT99" i="36" s="1"/>
  <c r="CT131" i="36" s="1"/>
  <c r="CK58" i="36"/>
  <c r="CK60" i="36" s="1"/>
  <c r="CD45" i="36"/>
  <c r="CD55" i="36" s="1"/>
  <c r="J43" i="35"/>
  <c r="CT107" i="35"/>
  <c r="CT127" i="35" s="1"/>
  <c r="CT129" i="35" s="1"/>
  <c r="CK86" i="35"/>
  <c r="CK88" i="35" s="1"/>
  <c r="CB107" i="35"/>
  <c r="CR73" i="35"/>
  <c r="CD73" i="35"/>
  <c r="CD83" i="35" s="1"/>
  <c r="K43" i="35"/>
  <c r="BK202" i="35"/>
  <c r="CL85" i="35" s="1"/>
  <c r="BJ203" i="35"/>
  <c r="J7" i="30"/>
  <c r="L24" i="30"/>
  <c r="L30" i="30"/>
  <c r="K24" i="30"/>
  <c r="K30" i="30"/>
  <c r="J36" i="30"/>
  <c r="J18" i="30"/>
  <c r="K18" i="30"/>
  <c r="K36" i="30"/>
  <c r="BD54" i="30"/>
  <c r="BB54" i="30" s="1"/>
  <c r="BC54" i="30" s="1"/>
  <c r="K7" i="30"/>
  <c r="S199" i="23"/>
  <c r="T198" i="23"/>
  <c r="R198" i="23"/>
  <c r="V197" i="23"/>
  <c r="AS196" i="23"/>
  <c r="AW191" i="20"/>
  <c r="AY191" i="20" s="1"/>
  <c r="AB191" i="20" s="1"/>
  <c r="AV192" i="20"/>
  <c r="AX192" i="20" s="1"/>
  <c r="BA192" i="20" s="1"/>
  <c r="AV195" i="30"/>
  <c r="AW194" i="30"/>
  <c r="AX194" i="30" s="1"/>
  <c r="BC187" i="20"/>
  <c r="G187" i="20" s="1"/>
  <c r="F187" i="20" s="1"/>
  <c r="AB187" i="20"/>
  <c r="BB187" i="20"/>
  <c r="AB186" i="20"/>
  <c r="BC186" i="20"/>
  <c r="G186" i="20" s="1"/>
  <c r="F186" i="20" s="1"/>
  <c r="BB186" i="20"/>
  <c r="AB190" i="20"/>
  <c r="BC190" i="20"/>
  <c r="G190" i="20" s="1"/>
  <c r="F190" i="20" s="1"/>
  <c r="BB190" i="20"/>
  <c r="AB188" i="20"/>
  <c r="BC188" i="20"/>
  <c r="G188" i="20" s="1"/>
  <c r="F188" i="20" s="1"/>
  <c r="BB188" i="20"/>
  <c r="AB192" i="20"/>
  <c r="BC192" i="20"/>
  <c r="G192" i="20" s="1"/>
  <c r="F192" i="20" s="1"/>
  <c r="BB192" i="20"/>
  <c r="AW161" i="26"/>
  <c r="AY161" i="26" s="1"/>
  <c r="AV163" i="26"/>
  <c r="AX163" i="26" s="1"/>
  <c r="AZ163" i="26" s="1"/>
  <c r="AW139" i="26"/>
  <c r="AY139" i="26" s="1"/>
  <c r="BA139" i="26" s="1"/>
  <c r="AV139" i="26"/>
  <c r="AX139" i="26" s="1"/>
  <c r="AZ139" i="26" s="1"/>
  <c r="AW149" i="26"/>
  <c r="AY149" i="26" s="1"/>
  <c r="BA149" i="26" s="1"/>
  <c r="AV149" i="26"/>
  <c r="AX149" i="26" s="1"/>
  <c r="AZ149" i="26" s="1"/>
  <c r="AW160" i="26"/>
  <c r="AY160" i="26" s="1"/>
  <c r="AV160" i="26"/>
  <c r="AX160" i="26" s="1"/>
  <c r="AZ160" i="26" s="1"/>
  <c r="AW140" i="26"/>
  <c r="AY140" i="26" s="1"/>
  <c r="BA140" i="26" s="1"/>
  <c r="AV140" i="26"/>
  <c r="AX140" i="26" s="1"/>
  <c r="AZ140" i="26" s="1"/>
  <c r="AW144" i="26"/>
  <c r="AY144" i="26" s="1"/>
  <c r="BA144" i="26" s="1"/>
  <c r="AV144" i="26"/>
  <c r="AX144" i="26" s="1"/>
  <c r="AZ144" i="26" s="1"/>
  <c r="AW147" i="26"/>
  <c r="AY147" i="26" s="1"/>
  <c r="BA147" i="26" s="1"/>
  <c r="AV147" i="26"/>
  <c r="AX147" i="26" s="1"/>
  <c r="AZ147" i="26" s="1"/>
  <c r="AW164" i="26"/>
  <c r="AY164" i="26" s="1"/>
  <c r="AB164" i="26" s="1"/>
  <c r="AV164" i="26"/>
  <c r="AX164" i="26" s="1"/>
  <c r="AZ164" i="26" s="1"/>
  <c r="AT138" i="26"/>
  <c r="AW143" i="26"/>
  <c r="AY143" i="26" s="1"/>
  <c r="BA143" i="26" s="1"/>
  <c r="AV143" i="26"/>
  <c r="AX143" i="26" s="1"/>
  <c r="AZ143" i="26" s="1"/>
  <c r="AW145" i="26"/>
  <c r="AY145" i="26" s="1"/>
  <c r="BA145" i="26" s="1"/>
  <c r="AV145" i="26"/>
  <c r="AX145" i="26" s="1"/>
  <c r="AZ145" i="26" s="1"/>
  <c r="AW159" i="26"/>
  <c r="AX153" i="26" s="1"/>
  <c r="AY159" i="26" s="1"/>
  <c r="AV159" i="26"/>
  <c r="AX159" i="26" s="1"/>
  <c r="AZ159" i="26" s="1"/>
  <c r="AW141" i="26"/>
  <c r="AY141" i="26" s="1"/>
  <c r="BA141" i="26" s="1"/>
  <c r="AV141" i="26"/>
  <c r="AX141" i="26" s="1"/>
  <c r="AZ141" i="26" s="1"/>
  <c r="AW146" i="26"/>
  <c r="AY146" i="26" s="1"/>
  <c r="BA146" i="26" s="1"/>
  <c r="AV146" i="26"/>
  <c r="AX146" i="26" s="1"/>
  <c r="AZ146" i="26" s="1"/>
  <c r="AW142" i="26"/>
  <c r="AY142" i="26" s="1"/>
  <c r="BA142" i="26" s="1"/>
  <c r="AV142" i="26"/>
  <c r="AX142" i="26" s="1"/>
  <c r="AZ142" i="26" s="1"/>
  <c r="AW162" i="26"/>
  <c r="AY162" i="26" s="1"/>
  <c r="AB162" i="26" s="1"/>
  <c r="AV162" i="26"/>
  <c r="AX162" i="26" s="1"/>
  <c r="AZ162" i="26" s="1"/>
  <c r="BG216" i="26"/>
  <c r="AW148" i="26"/>
  <c r="AY148" i="26" s="1"/>
  <c r="BA148" i="26" s="1"/>
  <c r="AV148" i="26"/>
  <c r="AX148" i="26" s="1"/>
  <c r="AZ148" i="26" s="1"/>
  <c r="BA163" i="26"/>
  <c r="AF176" i="25"/>
  <c r="AU176" i="25" s="1"/>
  <c r="AW176" i="25" s="1"/>
  <c r="AY176" i="25" s="1"/>
  <c r="AB176" i="25" s="1"/>
  <c r="AF177" i="25"/>
  <c r="AU177" i="25" s="1"/>
  <c r="AV177" i="25" s="1"/>
  <c r="AX177" i="25" s="1"/>
  <c r="AZ177" i="25" s="1"/>
  <c r="BG212" i="25"/>
  <c r="AF173" i="25"/>
  <c r="AW175" i="25"/>
  <c r="AY175" i="25" s="1"/>
  <c r="AB175" i="25" s="1"/>
  <c r="AV175" i="25"/>
  <c r="AX175" i="25" s="1"/>
  <c r="AZ175" i="25" s="1"/>
  <c r="AF178" i="25"/>
  <c r="AU178" i="25" s="1"/>
  <c r="AF174" i="25"/>
  <c r="AU174" i="25" s="1"/>
  <c r="BI138" i="20"/>
  <c r="BH212" i="23"/>
  <c r="BG209" i="3"/>
  <c r="AE160" i="20"/>
  <c r="AS160" i="20"/>
  <c r="V161" i="20"/>
  <c r="R162" i="20"/>
  <c r="S163" i="20"/>
  <c r="T162" i="20"/>
  <c r="AY185" i="20" l="1"/>
  <c r="BB185" i="20" s="1"/>
  <c r="AB159" i="26"/>
  <c r="AO161" i="25"/>
  <c r="AT161" i="25" s="1"/>
  <c r="AO160" i="25"/>
  <c r="AT160" i="25" s="1"/>
  <c r="K126" i="36"/>
  <c r="K132" i="36" s="1"/>
  <c r="CR44" i="36"/>
  <c r="CV78" i="36"/>
  <c r="CV99" i="36" s="1"/>
  <c r="CV131" i="36" s="1"/>
  <c r="CF44" i="36"/>
  <c r="CF55" i="36" s="1"/>
  <c r="CB78" i="36"/>
  <c r="CL58" i="36"/>
  <c r="CL60" i="36" s="1"/>
  <c r="BK195" i="36"/>
  <c r="CM57" i="36" s="1"/>
  <c r="BJ196" i="36"/>
  <c r="BK203" i="35"/>
  <c r="CM85" i="35" s="1"/>
  <c r="BJ204" i="35"/>
  <c r="CB106" i="35"/>
  <c r="CL86" i="35"/>
  <c r="CL88" i="35" s="1"/>
  <c r="CR72" i="35"/>
  <c r="CF72" i="35"/>
  <c r="CF83" i="35" s="1"/>
  <c r="CV106" i="35"/>
  <c r="CV127" i="35" s="1"/>
  <c r="CV129" i="35" s="1"/>
  <c r="K126" i="35"/>
  <c r="K132" i="35" s="1"/>
  <c r="L31" i="30"/>
  <c r="J37" i="30"/>
  <c r="L25" i="30"/>
  <c r="J19" i="30"/>
  <c r="K37" i="30"/>
  <c r="K31" i="30"/>
  <c r="K19" i="30"/>
  <c r="K25" i="30"/>
  <c r="BD51" i="30"/>
  <c r="BB51" i="30" s="1"/>
  <c r="BC51" i="30" s="1"/>
  <c r="AS197" i="23"/>
  <c r="R199" i="23"/>
  <c r="V198" i="23"/>
  <c r="S200" i="23"/>
  <c r="T199" i="23"/>
  <c r="BC191" i="20"/>
  <c r="G191" i="20" s="1"/>
  <c r="F191" i="20" s="1"/>
  <c r="BB191" i="20"/>
  <c r="AW195" i="30"/>
  <c r="AX195" i="30" s="1"/>
  <c r="AV196" i="30"/>
  <c r="BA160" i="26"/>
  <c r="AB160" i="26"/>
  <c r="BA161" i="26"/>
  <c r="AB161" i="26"/>
  <c r="BA164" i="26"/>
  <c r="BG217" i="26"/>
  <c r="BA162" i="26"/>
  <c r="D3" i="26"/>
  <c r="C3" i="26"/>
  <c r="D22" i="26"/>
  <c r="C5" i="26"/>
  <c r="C22" i="26"/>
  <c r="AW138" i="26"/>
  <c r="AY138" i="26" s="1"/>
  <c r="BA138" i="26" s="1"/>
  <c r="AV138" i="26"/>
  <c r="AX138" i="26" s="1"/>
  <c r="AZ138" i="26" s="1"/>
  <c r="AW177" i="25"/>
  <c r="AY177" i="25" s="1"/>
  <c r="AV176" i="25"/>
  <c r="AX176" i="25" s="1"/>
  <c r="AZ176" i="25" s="1"/>
  <c r="AW174" i="25"/>
  <c r="AY174" i="25" s="1"/>
  <c r="AB174" i="25" s="1"/>
  <c r="AV174" i="25"/>
  <c r="AX174" i="25" s="1"/>
  <c r="AZ174" i="25" s="1"/>
  <c r="BA175" i="25"/>
  <c r="AU173" i="25"/>
  <c r="AO158" i="25"/>
  <c r="AT158" i="25" s="1"/>
  <c r="AO159" i="25"/>
  <c r="AT159" i="25" s="1"/>
  <c r="AO155" i="25"/>
  <c r="AT155" i="25" s="1"/>
  <c r="AO151" i="25"/>
  <c r="AT151" i="25" s="1"/>
  <c r="AO152" i="25"/>
  <c r="AT152" i="25" s="1"/>
  <c r="AO154" i="25"/>
  <c r="AT154" i="25" s="1"/>
  <c r="AO153" i="25"/>
  <c r="AT153" i="25" s="1"/>
  <c r="AO157" i="25"/>
  <c r="AT157" i="25" s="1"/>
  <c r="AO156" i="25"/>
  <c r="AT156" i="25" s="1"/>
  <c r="AO150" i="25"/>
  <c r="AO146" i="25" s="1"/>
  <c r="C9" i="25" s="1"/>
  <c r="AW178" i="25"/>
  <c r="AY178" i="25" s="1"/>
  <c r="AB178" i="25" s="1"/>
  <c r="AV178" i="25"/>
  <c r="AX178" i="25" s="1"/>
  <c r="AZ178" i="25" s="1"/>
  <c r="BA176" i="25"/>
  <c r="BG213" i="25"/>
  <c r="BI139" i="20"/>
  <c r="BH213" i="23"/>
  <c r="BG210" i="3"/>
  <c r="V162" i="20"/>
  <c r="R163" i="20"/>
  <c r="S164" i="20"/>
  <c r="T163" i="20"/>
  <c r="AS161" i="20"/>
  <c r="AE161" i="20"/>
  <c r="AB185" i="20" l="1"/>
  <c r="BA159" i="26"/>
  <c r="BM82" i="26" s="1"/>
  <c r="BN82" i="26" s="1"/>
  <c r="AW160" i="25"/>
  <c r="AY160" i="25" s="1"/>
  <c r="BA160" i="25" s="1"/>
  <c r="AV160" i="25"/>
  <c r="AX160" i="25" s="1"/>
  <c r="AZ160" i="25" s="1"/>
  <c r="AW161" i="25"/>
  <c r="AY161" i="25" s="1"/>
  <c r="BA161" i="25" s="1"/>
  <c r="AV161" i="25"/>
  <c r="AX161" i="25" s="1"/>
  <c r="AZ161" i="25" s="1"/>
  <c r="BK196" i="36"/>
  <c r="CN57" i="36" s="1"/>
  <c r="BJ197" i="36"/>
  <c r="CB77" i="36"/>
  <c r="CM58" i="36"/>
  <c r="CM60" i="36" s="1"/>
  <c r="CR43" i="36"/>
  <c r="CX77" i="36"/>
  <c r="CX99" i="36" s="1"/>
  <c r="CX131" i="36" s="1"/>
  <c r="CH43" i="36"/>
  <c r="CH55" i="36" s="1"/>
  <c r="BK204" i="35"/>
  <c r="CN85" i="35" s="1"/>
  <c r="BJ205" i="35"/>
  <c r="CX105" i="35"/>
  <c r="CX127" i="35" s="1"/>
  <c r="CX129" i="35" s="1"/>
  <c r="CB105" i="35"/>
  <c r="CR71" i="35"/>
  <c r="CH71" i="35"/>
  <c r="CH83" i="35" s="1"/>
  <c r="CM86" i="35"/>
  <c r="CM88" i="35" s="1"/>
  <c r="M85" i="30"/>
  <c r="K85" i="30"/>
  <c r="I126" i="30"/>
  <c r="J126" i="30"/>
  <c r="R200" i="23"/>
  <c r="V199" i="23"/>
  <c r="S201" i="23"/>
  <c r="T200" i="23"/>
  <c r="AS198" i="23"/>
  <c r="L54" i="26"/>
  <c r="J54" i="26"/>
  <c r="BH216" i="26"/>
  <c r="BI216" i="26" s="1"/>
  <c r="AV197" i="30"/>
  <c r="AW196" i="30"/>
  <c r="AX196" i="30" s="1"/>
  <c r="BA177" i="25"/>
  <c r="AB177" i="25"/>
  <c r="BH189" i="26"/>
  <c r="CZ56" i="26"/>
  <c r="L14" i="26" s="1"/>
  <c r="CB56" i="26"/>
  <c r="D5" i="26"/>
  <c r="CQ59" i="26"/>
  <c r="CB59" i="26"/>
  <c r="BH190" i="26"/>
  <c r="BI190" i="26" s="1"/>
  <c r="BH191" i="26"/>
  <c r="BI191" i="26" s="1"/>
  <c r="BH192" i="26"/>
  <c r="BI192" i="26" s="1"/>
  <c r="BH193" i="26"/>
  <c r="BI193" i="26" s="1"/>
  <c r="BH194" i="26"/>
  <c r="BI194" i="26" s="1"/>
  <c r="BH195" i="26"/>
  <c r="BI195" i="26" s="1"/>
  <c r="BH196" i="26"/>
  <c r="BI196" i="26" s="1"/>
  <c r="BH197" i="26"/>
  <c r="BI197" i="26" s="1"/>
  <c r="BH198" i="26"/>
  <c r="BI198" i="26" s="1"/>
  <c r="BH199" i="26"/>
  <c r="BI199" i="26" s="1"/>
  <c r="BH200" i="26"/>
  <c r="BI200" i="26" s="1"/>
  <c r="BH201" i="26"/>
  <c r="BI201" i="26" s="1"/>
  <c r="BH202" i="26"/>
  <c r="BI202" i="26" s="1"/>
  <c r="BH203" i="26"/>
  <c r="BI203" i="26" s="1"/>
  <c r="BH204" i="26"/>
  <c r="BI204" i="26" s="1"/>
  <c r="BH205" i="26"/>
  <c r="BI205" i="26" s="1"/>
  <c r="BH206" i="26"/>
  <c r="BI206" i="26" s="1"/>
  <c r="BH207" i="26"/>
  <c r="BI207" i="26" s="1"/>
  <c r="BH208" i="26"/>
  <c r="BI208" i="26" s="1"/>
  <c r="BH209" i="26"/>
  <c r="BI209" i="26" s="1"/>
  <c r="BH210" i="26"/>
  <c r="BI210" i="26" s="1"/>
  <c r="BH211" i="26"/>
  <c r="BI211" i="26" s="1"/>
  <c r="BH212" i="26"/>
  <c r="BI212" i="26" s="1"/>
  <c r="BH213" i="26"/>
  <c r="BI213" i="26" s="1"/>
  <c r="BH214" i="26"/>
  <c r="BI214" i="26" s="1"/>
  <c r="BH215" i="26"/>
  <c r="BI215" i="26" s="1"/>
  <c r="BH217" i="26"/>
  <c r="BI217" i="26" s="1"/>
  <c r="BG218" i="26"/>
  <c r="AW152" i="25"/>
  <c r="AY152" i="25" s="1"/>
  <c r="BA152" i="25" s="1"/>
  <c r="AV152" i="25"/>
  <c r="AX152" i="25" s="1"/>
  <c r="AZ152" i="25" s="1"/>
  <c r="AW159" i="25"/>
  <c r="AY159" i="25" s="1"/>
  <c r="BA159" i="25" s="1"/>
  <c r="AV159" i="25"/>
  <c r="AX159" i="25" s="1"/>
  <c r="AZ159" i="25" s="1"/>
  <c r="BG214" i="25"/>
  <c r="AW157" i="25"/>
  <c r="AY157" i="25" s="1"/>
  <c r="BA157" i="25" s="1"/>
  <c r="AV157" i="25"/>
  <c r="AX157" i="25" s="1"/>
  <c r="AZ157" i="25" s="1"/>
  <c r="AW151" i="25"/>
  <c r="AY151" i="25" s="1"/>
  <c r="BA151" i="25" s="1"/>
  <c r="AV151" i="25"/>
  <c r="AX151" i="25" s="1"/>
  <c r="AZ151" i="25" s="1"/>
  <c r="AW158" i="25"/>
  <c r="AY158" i="25" s="1"/>
  <c r="BA158" i="25" s="1"/>
  <c r="AV158" i="25"/>
  <c r="AX158" i="25" s="1"/>
  <c r="AZ158" i="25" s="1"/>
  <c r="BA174" i="25"/>
  <c r="AW153" i="25"/>
  <c r="AY153" i="25" s="1"/>
  <c r="BA153" i="25" s="1"/>
  <c r="AV153" i="25"/>
  <c r="AX153" i="25" s="1"/>
  <c r="AZ153" i="25" s="1"/>
  <c r="AW173" i="25"/>
  <c r="AX167" i="25" s="1"/>
  <c r="AY173" i="25" s="1"/>
  <c r="AV173" i="25"/>
  <c r="AX173" i="25" s="1"/>
  <c r="AZ173" i="25" s="1"/>
  <c r="AT150" i="25"/>
  <c r="AW155" i="25"/>
  <c r="AY155" i="25" s="1"/>
  <c r="BA155" i="25" s="1"/>
  <c r="AV155" i="25"/>
  <c r="AX155" i="25" s="1"/>
  <c r="AZ155" i="25" s="1"/>
  <c r="BA178" i="25"/>
  <c r="AW156" i="25"/>
  <c r="AY156" i="25" s="1"/>
  <c r="BA156" i="25" s="1"/>
  <c r="AV156" i="25"/>
  <c r="AX156" i="25" s="1"/>
  <c r="AZ156" i="25" s="1"/>
  <c r="AW154" i="25"/>
  <c r="AY154" i="25" s="1"/>
  <c r="BA154" i="25" s="1"/>
  <c r="AV154" i="25"/>
  <c r="AX154" i="25" s="1"/>
  <c r="AZ154" i="25" s="1"/>
  <c r="BI140" i="20"/>
  <c r="BH214" i="23"/>
  <c r="BG211" i="3"/>
  <c r="V163" i="20"/>
  <c r="R164" i="20"/>
  <c r="T164" i="20"/>
  <c r="S165" i="20"/>
  <c r="AE162" i="20"/>
  <c r="AS162" i="20"/>
  <c r="AB173" i="25" l="1"/>
  <c r="J12" i="26"/>
  <c r="J13" i="26" s="1"/>
  <c r="J14" i="26"/>
  <c r="BJ198" i="36"/>
  <c r="BK197" i="36"/>
  <c r="CO57" i="36" s="1"/>
  <c r="CN58" i="36"/>
  <c r="CN60" i="36" s="1"/>
  <c r="CJ42" i="36"/>
  <c r="CJ55" i="36" s="1"/>
  <c r="CZ76" i="36"/>
  <c r="CZ99" i="36" s="1"/>
  <c r="CZ131" i="36" s="1"/>
  <c r="CR42" i="36"/>
  <c r="CB76" i="36"/>
  <c r="CB99" i="36" s="1"/>
  <c r="BK205" i="35"/>
  <c r="CO85" i="35" s="1"/>
  <c r="BJ206" i="35"/>
  <c r="CB104" i="35"/>
  <c r="CB127" i="35" s="1"/>
  <c r="CR70" i="35"/>
  <c r="CJ70" i="35"/>
  <c r="CJ83" i="35" s="1"/>
  <c r="CZ104" i="35"/>
  <c r="CZ127" i="35" s="1"/>
  <c r="CZ129" i="35" s="1"/>
  <c r="CN86" i="35"/>
  <c r="CN88" i="35" s="1"/>
  <c r="V200" i="23"/>
  <c r="R201" i="23"/>
  <c r="AS199" i="23"/>
  <c r="S202" i="23"/>
  <c r="T202" i="23" s="1"/>
  <c r="V202" i="23" s="1"/>
  <c r="T201" i="23"/>
  <c r="L12" i="26"/>
  <c r="K12" i="26"/>
  <c r="L55" i="26"/>
  <c r="J55" i="26"/>
  <c r="R165" i="20"/>
  <c r="V164" i="20"/>
  <c r="AW197" i="30"/>
  <c r="AX197" i="30" s="1"/>
  <c r="AV198" i="30"/>
  <c r="AW198" i="30" s="1"/>
  <c r="BM55" i="26"/>
  <c r="BN55" i="26" s="1"/>
  <c r="BM58" i="26"/>
  <c r="BN58" i="26" s="1"/>
  <c r="BO59" i="26"/>
  <c r="BG219" i="26"/>
  <c r="BH218" i="26"/>
  <c r="BI218" i="26" s="1"/>
  <c r="BI189" i="26"/>
  <c r="BL131" i="26"/>
  <c r="H23" i="26" s="1"/>
  <c r="CO53" i="26"/>
  <c r="BQ53" i="26"/>
  <c r="J8" i="26" s="1"/>
  <c r="AW150" i="25"/>
  <c r="AY150" i="25" s="1"/>
  <c r="BA150" i="25" s="1"/>
  <c r="AV150" i="25"/>
  <c r="AX150" i="25" s="1"/>
  <c r="AZ150" i="25" s="1"/>
  <c r="BG215" i="25"/>
  <c r="D3" i="25"/>
  <c r="C3" i="25"/>
  <c r="D22" i="25"/>
  <c r="C5" i="25"/>
  <c r="C22" i="25"/>
  <c r="BI141" i="20"/>
  <c r="BH215" i="23"/>
  <c r="BG212" i="3"/>
  <c r="T165" i="20"/>
  <c r="S166" i="20"/>
  <c r="AS163" i="20"/>
  <c r="AE163" i="20"/>
  <c r="BA173" i="25" l="1"/>
  <c r="BM56" i="25" s="1"/>
  <c r="BN56" i="25" s="1"/>
  <c r="BM59" i="26"/>
  <c r="BN59" i="26" s="1"/>
  <c r="L6" i="26"/>
  <c r="L8" i="26"/>
  <c r="BK198" i="36"/>
  <c r="CP57" i="36" s="1"/>
  <c r="BJ199" i="36"/>
  <c r="CB131" i="36"/>
  <c r="J131" i="36"/>
  <c r="J132" i="36" s="1"/>
  <c r="CK75" i="36"/>
  <c r="CR41" i="36"/>
  <c r="CL41" i="36"/>
  <c r="CL55" i="36" s="1"/>
  <c r="CO58" i="36"/>
  <c r="CO60" i="36" s="1"/>
  <c r="CS75" i="36"/>
  <c r="CB129" i="35"/>
  <c r="J131" i="35"/>
  <c r="J132" i="35" s="1"/>
  <c r="BK206" i="35"/>
  <c r="CP85" i="35" s="1"/>
  <c r="BJ207" i="35"/>
  <c r="CS103" i="35"/>
  <c r="CK103" i="35"/>
  <c r="CR69" i="35"/>
  <c r="CO86" i="35"/>
  <c r="CO88" i="35" s="1"/>
  <c r="CL69" i="35"/>
  <c r="CL83" i="35" s="1"/>
  <c r="AS202" i="23"/>
  <c r="AF202" i="23"/>
  <c r="AS200" i="23"/>
  <c r="R202" i="23"/>
  <c r="V201" i="23"/>
  <c r="AF181" i="23" s="1"/>
  <c r="AU181" i="23" s="1"/>
  <c r="L54" i="25"/>
  <c r="J54" i="25"/>
  <c r="BH214" i="25"/>
  <c r="BI214" i="25" s="1"/>
  <c r="M126" i="26"/>
  <c r="J6" i="26"/>
  <c r="K6" i="26"/>
  <c r="K13" i="26"/>
  <c r="L7" i="26"/>
  <c r="L13" i="26"/>
  <c r="D131" i="26"/>
  <c r="H16" i="26"/>
  <c r="AE164" i="20"/>
  <c r="AS164" i="20"/>
  <c r="R166" i="20"/>
  <c r="V165" i="20"/>
  <c r="AX198" i="30"/>
  <c r="AY162" i="30" s="1"/>
  <c r="CS131" i="30"/>
  <c r="BM52" i="26"/>
  <c r="BN52" i="26" s="1"/>
  <c r="D129" i="26"/>
  <c r="BH219" i="26"/>
  <c r="BI219" i="26" s="1"/>
  <c r="BG220" i="26"/>
  <c r="BG216" i="25"/>
  <c r="BH215" i="25"/>
  <c r="BI215" i="25" s="1"/>
  <c r="BH184" i="25"/>
  <c r="BI184" i="25" s="1"/>
  <c r="BH181" i="25"/>
  <c r="BH185" i="25"/>
  <c r="BI185" i="25" s="1"/>
  <c r="BH182" i="25"/>
  <c r="BI182" i="25" s="1"/>
  <c r="CB30" i="25"/>
  <c r="CQ33" i="25"/>
  <c r="D5" i="25"/>
  <c r="CZ30" i="25"/>
  <c r="L14" i="25" s="1"/>
  <c r="CB33" i="25"/>
  <c r="BH183" i="25"/>
  <c r="BI183" i="25" s="1"/>
  <c r="BH186" i="25"/>
  <c r="BI186" i="25" s="1"/>
  <c r="BH187" i="25"/>
  <c r="BI187" i="25" s="1"/>
  <c r="BH188" i="25"/>
  <c r="BI188" i="25" s="1"/>
  <c r="BH189" i="25"/>
  <c r="BI189" i="25" s="1"/>
  <c r="BH190" i="25"/>
  <c r="BI190" i="25" s="1"/>
  <c r="BH191" i="25"/>
  <c r="BI191" i="25" s="1"/>
  <c r="BH192" i="25"/>
  <c r="BI192" i="25" s="1"/>
  <c r="BH193" i="25"/>
  <c r="BI193" i="25" s="1"/>
  <c r="BH194" i="25"/>
  <c r="BI194" i="25" s="1"/>
  <c r="BH195" i="25"/>
  <c r="BI195" i="25" s="1"/>
  <c r="BH196" i="25"/>
  <c r="BI196" i="25" s="1"/>
  <c r="BH197" i="25"/>
  <c r="BI197" i="25" s="1"/>
  <c r="BH198" i="25"/>
  <c r="BI198" i="25" s="1"/>
  <c r="BH199" i="25"/>
  <c r="BI199" i="25" s="1"/>
  <c r="BH200" i="25"/>
  <c r="BI200" i="25" s="1"/>
  <c r="BH201" i="25"/>
  <c r="BI201" i="25" s="1"/>
  <c r="BH202" i="25"/>
  <c r="BI202" i="25" s="1"/>
  <c r="BH203" i="25"/>
  <c r="BI203" i="25" s="1"/>
  <c r="BH204" i="25"/>
  <c r="BI204" i="25" s="1"/>
  <c r="BH205" i="25"/>
  <c r="BI205" i="25" s="1"/>
  <c r="BH206" i="25"/>
  <c r="BI206" i="25" s="1"/>
  <c r="BH207" i="25"/>
  <c r="BI207" i="25" s="1"/>
  <c r="BH208" i="25"/>
  <c r="BI208" i="25" s="1"/>
  <c r="BH209" i="25"/>
  <c r="BI209" i="25" s="1"/>
  <c r="BH210" i="25"/>
  <c r="BI210" i="25" s="1"/>
  <c r="BH211" i="25"/>
  <c r="BI211" i="25" s="1"/>
  <c r="BH212" i="25"/>
  <c r="BI212" i="25" s="1"/>
  <c r="BH213" i="25"/>
  <c r="BI213" i="25" s="1"/>
  <c r="BI142" i="20"/>
  <c r="BH216" i="23"/>
  <c r="BG213" i="3"/>
  <c r="T166" i="20"/>
  <c r="S167" i="20"/>
  <c r="J12" i="25" l="1"/>
  <c r="J13" i="25" s="1"/>
  <c r="J14" i="25"/>
  <c r="AU202" i="23"/>
  <c r="AW202" i="23" s="1"/>
  <c r="AY202" i="23" s="1"/>
  <c r="M131" i="36"/>
  <c r="M132" i="36" s="1"/>
  <c r="BJ200" i="36"/>
  <c r="BK199" i="36"/>
  <c r="CQ57" i="36" s="1"/>
  <c r="CN40" i="36"/>
  <c r="CN55" i="36" s="1"/>
  <c r="CU74" i="36"/>
  <c r="CK74" i="36"/>
  <c r="CP58" i="36"/>
  <c r="CP60" i="36" s="1"/>
  <c r="CR40" i="36"/>
  <c r="BK207" i="35"/>
  <c r="CQ85" i="35" s="1"/>
  <c r="BJ208" i="35"/>
  <c r="CK102" i="35"/>
  <c r="CP86" i="35"/>
  <c r="CP88" i="35" s="1"/>
  <c r="CR68" i="35"/>
  <c r="CN68" i="35"/>
  <c r="CN83" i="35" s="1"/>
  <c r="CU102" i="35"/>
  <c r="M131" i="35"/>
  <c r="M132" i="35" s="1"/>
  <c r="AF200" i="23"/>
  <c r="AU200" i="23" s="1"/>
  <c r="AW200" i="23" s="1"/>
  <c r="AY200" i="23" s="1"/>
  <c r="AF195" i="23"/>
  <c r="AU195" i="23" s="1"/>
  <c r="AV195" i="23" s="1"/>
  <c r="AX195" i="23" s="1"/>
  <c r="BA195" i="23" s="1"/>
  <c r="AF185" i="23"/>
  <c r="AU185" i="23" s="1"/>
  <c r="AW185" i="23" s="1"/>
  <c r="AY185" i="23" s="1"/>
  <c r="AF198" i="23"/>
  <c r="AU198" i="23" s="1"/>
  <c r="AW198" i="23" s="1"/>
  <c r="AY198" i="23" s="1"/>
  <c r="AF187" i="23"/>
  <c r="AU187" i="23" s="1"/>
  <c r="AW187" i="23" s="1"/>
  <c r="AY187" i="23" s="1"/>
  <c r="AF183" i="23"/>
  <c r="AU183" i="23" s="1"/>
  <c r="AV183" i="23" s="1"/>
  <c r="AX183" i="23" s="1"/>
  <c r="BA183" i="23" s="1"/>
  <c r="T173" i="23"/>
  <c r="AF193" i="23"/>
  <c r="AU193" i="23" s="1"/>
  <c r="AW193" i="23" s="1"/>
  <c r="AY193" i="23" s="1"/>
  <c r="AF192" i="23"/>
  <c r="AU192" i="23" s="1"/>
  <c r="AV192" i="23" s="1"/>
  <c r="AX192" i="23" s="1"/>
  <c r="BA192" i="23" s="1"/>
  <c r="AF177" i="23"/>
  <c r="AO159" i="23" s="1"/>
  <c r="AT159" i="23" s="1"/>
  <c r="AF194" i="23"/>
  <c r="AU194" i="23" s="1"/>
  <c r="AV194" i="23" s="1"/>
  <c r="AX194" i="23" s="1"/>
  <c r="BA194" i="23" s="1"/>
  <c r="AF189" i="23"/>
  <c r="AU189" i="23" s="1"/>
  <c r="AV189" i="23" s="1"/>
  <c r="AX189" i="23" s="1"/>
  <c r="BA189" i="23" s="1"/>
  <c r="AF186" i="23"/>
  <c r="AU186" i="23" s="1"/>
  <c r="AW186" i="23" s="1"/>
  <c r="AY186" i="23" s="1"/>
  <c r="AW181" i="23"/>
  <c r="AY181" i="23" s="1"/>
  <c r="AV181" i="23"/>
  <c r="AX181" i="23" s="1"/>
  <c r="BA181" i="23" s="1"/>
  <c r="AF188" i="23"/>
  <c r="AU188" i="23" s="1"/>
  <c r="AF180" i="23"/>
  <c r="AU180" i="23" s="1"/>
  <c r="AF178" i="23"/>
  <c r="AU178" i="23" s="1"/>
  <c r="AF182" i="23"/>
  <c r="AU182" i="23" s="1"/>
  <c r="AS201" i="23"/>
  <c r="AF201" i="23"/>
  <c r="AF196" i="23"/>
  <c r="AU196" i="23" s="1"/>
  <c r="AF197" i="23"/>
  <c r="AU197" i="23" s="1"/>
  <c r="AF199" i="23"/>
  <c r="AU199" i="23" s="1"/>
  <c r="AF191" i="23"/>
  <c r="AU191" i="23" s="1"/>
  <c r="AF190" i="23"/>
  <c r="AU190" i="23" s="1"/>
  <c r="AF184" i="23"/>
  <c r="AU184" i="23" s="1"/>
  <c r="AF179" i="23"/>
  <c r="AU179" i="23" s="1"/>
  <c r="L12" i="25"/>
  <c r="K12" i="25"/>
  <c r="BO56" i="26"/>
  <c r="J36" i="26"/>
  <c r="K36" i="26"/>
  <c r="L30" i="26"/>
  <c r="K30" i="26"/>
  <c r="L55" i="25"/>
  <c r="J55" i="25"/>
  <c r="J18" i="26"/>
  <c r="K18" i="26"/>
  <c r="L24" i="26"/>
  <c r="K24" i="26"/>
  <c r="K7" i="26"/>
  <c r="J7" i="26"/>
  <c r="AE165" i="20"/>
  <c r="AS165" i="20"/>
  <c r="R167" i="20"/>
  <c r="V166" i="20"/>
  <c r="D134" i="30"/>
  <c r="D132" i="30"/>
  <c r="AY163" i="30"/>
  <c r="AZ162" i="30"/>
  <c r="BF81" i="30" s="1"/>
  <c r="BF82" i="30" s="1"/>
  <c r="BF84" i="30" s="1"/>
  <c r="BM32" i="25"/>
  <c r="BN32" i="25" s="1"/>
  <c r="BM29" i="25"/>
  <c r="BN29" i="25" s="1"/>
  <c r="BG221" i="26"/>
  <c r="BH220" i="26"/>
  <c r="BI220" i="26" s="1"/>
  <c r="BO33" i="25"/>
  <c r="CO27" i="25"/>
  <c r="BQ27" i="25"/>
  <c r="J8" i="25" s="1"/>
  <c r="BG217" i="25"/>
  <c r="BH217" i="25" s="1"/>
  <c r="BH216" i="25"/>
  <c r="BI216" i="25" s="1"/>
  <c r="BL180" i="25"/>
  <c r="H23" i="25" s="1"/>
  <c r="BI181" i="25"/>
  <c r="BI143" i="20"/>
  <c r="BH217" i="23"/>
  <c r="BG214" i="3"/>
  <c r="T167" i="20"/>
  <c r="S168" i="20"/>
  <c r="S169" i="20" s="1"/>
  <c r="BM33" i="25" l="1"/>
  <c r="BN33" i="25" s="1"/>
  <c r="BM56" i="26"/>
  <c r="BN56" i="26" s="1"/>
  <c r="L6" i="25"/>
  <c r="L7" i="25" s="1"/>
  <c r="L8" i="25"/>
  <c r="AV202" i="23"/>
  <c r="AX202" i="23" s="1"/>
  <c r="BA202" i="23" s="1"/>
  <c r="AV187" i="23"/>
  <c r="AX187" i="23" s="1"/>
  <c r="BA187" i="23" s="1"/>
  <c r="AW192" i="23"/>
  <c r="AY192" i="23" s="1"/>
  <c r="BB192" i="23" s="1"/>
  <c r="AV200" i="23"/>
  <c r="AX200" i="23" s="1"/>
  <c r="BA200" i="23" s="1"/>
  <c r="AO164" i="23"/>
  <c r="AT164" i="23" s="1"/>
  <c r="AV164" i="23" s="1"/>
  <c r="AX164" i="23" s="1"/>
  <c r="BA164" i="23" s="1"/>
  <c r="BK200" i="36"/>
  <c r="CR57" i="36" s="1"/>
  <c r="BJ201" i="36"/>
  <c r="CK73" i="36"/>
  <c r="CQ58" i="36"/>
  <c r="CQ60" i="36" s="1"/>
  <c r="CR39" i="36"/>
  <c r="CR55" i="36" s="1"/>
  <c r="CW73" i="36"/>
  <c r="CP39" i="36"/>
  <c r="CP55" i="36" s="1"/>
  <c r="BK208" i="35"/>
  <c r="CR85" i="35" s="1"/>
  <c r="BJ209" i="35"/>
  <c r="CW101" i="35"/>
  <c r="CK101" i="35"/>
  <c r="CR67" i="35"/>
  <c r="CR83" i="35" s="1"/>
  <c r="CQ86" i="35"/>
  <c r="CQ88" i="35" s="1"/>
  <c r="CP67" i="35"/>
  <c r="CP83" i="35" s="1"/>
  <c r="S170" i="20"/>
  <c r="T169" i="20"/>
  <c r="AV185" i="23"/>
  <c r="AX185" i="23" s="1"/>
  <c r="BA185" i="23" s="1"/>
  <c r="AW189" i="23"/>
  <c r="AY189" i="23" s="1"/>
  <c r="BB189" i="23" s="1"/>
  <c r="AV193" i="23"/>
  <c r="AX193" i="23" s="1"/>
  <c r="BA193" i="23" s="1"/>
  <c r="AV198" i="23"/>
  <c r="AX198" i="23" s="1"/>
  <c r="BA198" i="23" s="1"/>
  <c r="AO157" i="23"/>
  <c r="AT157" i="23" s="1"/>
  <c r="AW157" i="23" s="1"/>
  <c r="AY157" i="23" s="1"/>
  <c r="BB157" i="23" s="1"/>
  <c r="AW195" i="23"/>
  <c r="AY195" i="23" s="1"/>
  <c r="BB195" i="23" s="1"/>
  <c r="AO158" i="23"/>
  <c r="AT158" i="23" s="1"/>
  <c r="AW158" i="23" s="1"/>
  <c r="AY158" i="23" s="1"/>
  <c r="BB158" i="23" s="1"/>
  <c r="AO153" i="23"/>
  <c r="AV186" i="23"/>
  <c r="AX186" i="23" s="1"/>
  <c r="BA186" i="23" s="1"/>
  <c r="AO154" i="23"/>
  <c r="AT154" i="23" s="1"/>
  <c r="AW154" i="23" s="1"/>
  <c r="AY154" i="23" s="1"/>
  <c r="BB154" i="23" s="1"/>
  <c r="AO161" i="23"/>
  <c r="AT161" i="23" s="1"/>
  <c r="AV161" i="23" s="1"/>
  <c r="AX161" i="23" s="1"/>
  <c r="BA161" i="23" s="1"/>
  <c r="AU177" i="23"/>
  <c r="AV177" i="23" s="1"/>
  <c r="AX177" i="23" s="1"/>
  <c r="BA177" i="23" s="1"/>
  <c r="AO163" i="23"/>
  <c r="AT163" i="23" s="1"/>
  <c r="AW163" i="23" s="1"/>
  <c r="AY163" i="23" s="1"/>
  <c r="BB163" i="23" s="1"/>
  <c r="AO156" i="23"/>
  <c r="AT156" i="23" s="1"/>
  <c r="AV156" i="23" s="1"/>
  <c r="AX156" i="23" s="1"/>
  <c r="BA156" i="23" s="1"/>
  <c r="AO160" i="23"/>
  <c r="AT160" i="23" s="1"/>
  <c r="AV160" i="23" s="1"/>
  <c r="AX160" i="23" s="1"/>
  <c r="BA160" i="23" s="1"/>
  <c r="AW183" i="23"/>
  <c r="AY183" i="23" s="1"/>
  <c r="AB183" i="23" s="1"/>
  <c r="AW194" i="23"/>
  <c r="AY194" i="23" s="1"/>
  <c r="AB194" i="23" s="1"/>
  <c r="AO162" i="23"/>
  <c r="AT162" i="23" s="1"/>
  <c r="AV162" i="23" s="1"/>
  <c r="AX162" i="23" s="1"/>
  <c r="BA162" i="23" s="1"/>
  <c r="AO155" i="23"/>
  <c r="AT155" i="23" s="1"/>
  <c r="AV155" i="23" s="1"/>
  <c r="AX155" i="23" s="1"/>
  <c r="BA155" i="23" s="1"/>
  <c r="AW199" i="23"/>
  <c r="AY199" i="23" s="1"/>
  <c r="AV199" i="23"/>
  <c r="AX199" i="23" s="1"/>
  <c r="BA199" i="23" s="1"/>
  <c r="AB185" i="23"/>
  <c r="BB185" i="23"/>
  <c r="AW184" i="23"/>
  <c r="AY184" i="23" s="1"/>
  <c r="AV184" i="23"/>
  <c r="AX184" i="23" s="1"/>
  <c r="BA184" i="23" s="1"/>
  <c r="AW197" i="23"/>
  <c r="AY197" i="23" s="1"/>
  <c r="AV197" i="23"/>
  <c r="AX197" i="23" s="1"/>
  <c r="BA197" i="23" s="1"/>
  <c r="BB202" i="23"/>
  <c r="AB202" i="23"/>
  <c r="BB200" i="23"/>
  <c r="AB200" i="23"/>
  <c r="AW188" i="23"/>
  <c r="AY188" i="23" s="1"/>
  <c r="AV188" i="23"/>
  <c r="AX188" i="23" s="1"/>
  <c r="BA188" i="23" s="1"/>
  <c r="AW159" i="23"/>
  <c r="AY159" i="23" s="1"/>
  <c r="BB159" i="23" s="1"/>
  <c r="AV159" i="23"/>
  <c r="AX159" i="23" s="1"/>
  <c r="BA159" i="23" s="1"/>
  <c r="AW180" i="23"/>
  <c r="AY180" i="23" s="1"/>
  <c r="AV180" i="23"/>
  <c r="AX180" i="23" s="1"/>
  <c r="BA180" i="23" s="1"/>
  <c r="AV190" i="23"/>
  <c r="AX190" i="23" s="1"/>
  <c r="BA190" i="23" s="1"/>
  <c r="AW190" i="23"/>
  <c r="AY190" i="23" s="1"/>
  <c r="AW196" i="23"/>
  <c r="AY196" i="23" s="1"/>
  <c r="AV196" i="23"/>
  <c r="AX196" i="23" s="1"/>
  <c r="BA196" i="23" s="1"/>
  <c r="AW182" i="23"/>
  <c r="AY182" i="23" s="1"/>
  <c r="AV182" i="23"/>
  <c r="AX182" i="23" s="1"/>
  <c r="BA182" i="23" s="1"/>
  <c r="AB186" i="23"/>
  <c r="BB186" i="23"/>
  <c r="AV179" i="23"/>
  <c r="AX179" i="23" s="1"/>
  <c r="BA179" i="23" s="1"/>
  <c r="AW179" i="23"/>
  <c r="AY179" i="23" s="1"/>
  <c r="AW191" i="23"/>
  <c r="AY191" i="23" s="1"/>
  <c r="AV191" i="23"/>
  <c r="AX191" i="23" s="1"/>
  <c r="BA191" i="23" s="1"/>
  <c r="AU201" i="23"/>
  <c r="AB187" i="23"/>
  <c r="BB187" i="23"/>
  <c r="AB193" i="23"/>
  <c r="BB193" i="23"/>
  <c r="BB198" i="23"/>
  <c r="AB198" i="23"/>
  <c r="AW178" i="23"/>
  <c r="AY178" i="23" s="1"/>
  <c r="AV178" i="23"/>
  <c r="AX178" i="23" s="1"/>
  <c r="BA178" i="23" s="1"/>
  <c r="AB181" i="23"/>
  <c r="BB181" i="23"/>
  <c r="L13" i="25"/>
  <c r="D143" i="25"/>
  <c r="H16" i="25"/>
  <c r="K13" i="25"/>
  <c r="K6" i="25"/>
  <c r="J6" i="25"/>
  <c r="BO53" i="26"/>
  <c r="M126" i="25"/>
  <c r="K31" i="26"/>
  <c r="K37" i="26"/>
  <c r="L31" i="26"/>
  <c r="J37" i="26"/>
  <c r="K25" i="26"/>
  <c r="K19" i="26"/>
  <c r="L25" i="26"/>
  <c r="J19" i="26"/>
  <c r="R168" i="20"/>
  <c r="V167" i="20"/>
  <c r="AE166" i="20"/>
  <c r="AS166" i="20"/>
  <c r="AY164" i="30"/>
  <c r="AZ163" i="30"/>
  <c r="BG81" i="30" s="1"/>
  <c r="BM26" i="25"/>
  <c r="BN26" i="25" s="1"/>
  <c r="BH221" i="26"/>
  <c r="BI221" i="26" s="1"/>
  <c r="BG222" i="26"/>
  <c r="BI217" i="25"/>
  <c r="BJ181" i="25" s="1"/>
  <c r="DD145" i="25"/>
  <c r="D144" i="25" s="1"/>
  <c r="D141" i="25"/>
  <c r="BI144" i="20"/>
  <c r="BH218" i="23"/>
  <c r="BG215" i="3"/>
  <c r="T168" i="20"/>
  <c r="BM53" i="26" l="1"/>
  <c r="BN53" i="26" s="1"/>
  <c r="AW164" i="23"/>
  <c r="AY164" i="23" s="1"/>
  <c r="BB164" i="23" s="1"/>
  <c r="AB195" i="23"/>
  <c r="AB192" i="23"/>
  <c r="AB189" i="23"/>
  <c r="AV154" i="23"/>
  <c r="AX154" i="23" s="1"/>
  <c r="BA154" i="23" s="1"/>
  <c r="AW162" i="23"/>
  <c r="AY162" i="23" s="1"/>
  <c r="BB162" i="23" s="1"/>
  <c r="AW156" i="23"/>
  <c r="AY156" i="23" s="1"/>
  <c r="BB156" i="23" s="1"/>
  <c r="AT153" i="23"/>
  <c r="AW153" i="23" s="1"/>
  <c r="AY153" i="23" s="1"/>
  <c r="BB153" i="23" s="1"/>
  <c r="AO149" i="23"/>
  <c r="C9" i="23" s="1"/>
  <c r="D3" i="23" s="1"/>
  <c r="BI218" i="23" s="1"/>
  <c r="BJ218" i="23" s="1"/>
  <c r="BK201" i="36"/>
  <c r="CS57" i="36" s="1"/>
  <c r="BJ202" i="36"/>
  <c r="CR58" i="36"/>
  <c r="CR60" i="36" s="1"/>
  <c r="CY72" i="36"/>
  <c r="CK72" i="36"/>
  <c r="BK209" i="35"/>
  <c r="CS85" i="35" s="1"/>
  <c r="BJ210" i="35"/>
  <c r="CK100" i="35"/>
  <c r="CR86" i="35"/>
  <c r="CR88" i="35" s="1"/>
  <c r="CY100" i="35"/>
  <c r="V169" i="20"/>
  <c r="R170" i="20"/>
  <c r="V168" i="20"/>
  <c r="R169" i="20"/>
  <c r="S171" i="20"/>
  <c r="T170" i="20"/>
  <c r="AW177" i="23"/>
  <c r="AY177" i="23" s="1"/>
  <c r="AB177" i="23" s="1"/>
  <c r="AW161" i="23"/>
  <c r="AY161" i="23" s="1"/>
  <c r="BB161" i="23" s="1"/>
  <c r="BB183" i="23"/>
  <c r="AV163" i="23"/>
  <c r="AX163" i="23" s="1"/>
  <c r="BA163" i="23" s="1"/>
  <c r="AV157" i="23"/>
  <c r="AX157" i="23" s="1"/>
  <c r="BA157" i="23" s="1"/>
  <c r="BB194" i="23"/>
  <c r="AV158" i="23"/>
  <c r="AX158" i="23" s="1"/>
  <c r="BA158" i="23" s="1"/>
  <c r="AW160" i="23"/>
  <c r="AY160" i="23" s="1"/>
  <c r="BB160" i="23" s="1"/>
  <c r="AW155" i="23"/>
  <c r="AY155" i="23" s="1"/>
  <c r="BB155" i="23" s="1"/>
  <c r="AB188" i="23"/>
  <c r="BB188" i="23"/>
  <c r="AB179" i="23"/>
  <c r="BB179" i="23"/>
  <c r="AB190" i="23"/>
  <c r="BB190" i="23"/>
  <c r="AB191" i="23"/>
  <c r="BB191" i="23"/>
  <c r="BB197" i="23"/>
  <c r="AB197" i="23"/>
  <c r="AB178" i="23"/>
  <c r="BB178" i="23"/>
  <c r="AB182" i="23"/>
  <c r="BB182" i="23"/>
  <c r="AW201" i="23"/>
  <c r="AY201" i="23" s="1"/>
  <c r="AV201" i="23"/>
  <c r="AX201" i="23" s="1"/>
  <c r="BA201" i="23" s="1"/>
  <c r="AB196" i="23"/>
  <c r="BB196" i="23"/>
  <c r="AB180" i="23"/>
  <c r="BB180" i="23"/>
  <c r="AB184" i="23"/>
  <c r="BB184" i="23"/>
  <c r="BB199" i="23"/>
  <c r="AB199" i="23"/>
  <c r="BO30" i="25"/>
  <c r="J7" i="25"/>
  <c r="K7" i="25"/>
  <c r="L30" i="25"/>
  <c r="L24" i="25"/>
  <c r="K30" i="25"/>
  <c r="K24" i="25"/>
  <c r="J36" i="25"/>
  <c r="J18" i="25"/>
  <c r="K18" i="25"/>
  <c r="K36" i="25"/>
  <c r="I126" i="26"/>
  <c r="J126" i="26"/>
  <c r="M85" i="26"/>
  <c r="K85" i="26"/>
  <c r="AE167" i="20"/>
  <c r="AS167" i="20"/>
  <c r="BH122" i="30"/>
  <c r="BF122" i="30"/>
  <c r="BG82" i="30"/>
  <c r="BG84" i="30" s="1"/>
  <c r="AZ164" i="30"/>
  <c r="BH81" i="30" s="1"/>
  <c r="AY165" i="30"/>
  <c r="BG223" i="26"/>
  <c r="BH222" i="26"/>
  <c r="BI222" i="26" s="1"/>
  <c r="BK181" i="25"/>
  <c r="BQ57" i="25" s="1"/>
  <c r="BQ58" i="25" s="1"/>
  <c r="BQ60" i="25" s="1"/>
  <c r="BJ182" i="25"/>
  <c r="D142" i="25"/>
  <c r="BI145" i="20"/>
  <c r="BH219" i="23"/>
  <c r="BG216" i="3"/>
  <c r="BM30" i="25" l="1"/>
  <c r="BN30" i="25" s="1"/>
  <c r="AV153" i="23"/>
  <c r="AX153" i="23" s="1"/>
  <c r="BA153" i="23" s="1"/>
  <c r="BB177" i="23"/>
  <c r="C3" i="23"/>
  <c r="C5" i="23"/>
  <c r="C22" i="23"/>
  <c r="BK202" i="36"/>
  <c r="CT57" i="36" s="1"/>
  <c r="BJ203" i="36"/>
  <c r="CK71" i="36"/>
  <c r="CK99" i="36" s="1"/>
  <c r="CS58" i="36"/>
  <c r="CS60" i="36" s="1"/>
  <c r="DA71" i="36"/>
  <c r="BJ211" i="35"/>
  <c r="BK210" i="35"/>
  <c r="CT85" i="35" s="1"/>
  <c r="DA99" i="35"/>
  <c r="CS86" i="35"/>
  <c r="CS88" i="35" s="1"/>
  <c r="CK99" i="35"/>
  <c r="CK127" i="35" s="1"/>
  <c r="AS169" i="20"/>
  <c r="T145" i="20"/>
  <c r="AE168" i="20"/>
  <c r="AS168" i="20"/>
  <c r="V170" i="20"/>
  <c r="R171" i="20"/>
  <c r="S172" i="20"/>
  <c r="T171" i="20"/>
  <c r="AE169" i="20"/>
  <c r="D22" i="23"/>
  <c r="BI219" i="23"/>
  <c r="BJ219" i="23" s="1"/>
  <c r="BB201" i="23"/>
  <c r="AB201" i="23"/>
  <c r="BI213" i="23"/>
  <c r="BJ213" i="23" s="1"/>
  <c r="D5" i="23"/>
  <c r="BI184" i="23"/>
  <c r="BJ184" i="23" s="1"/>
  <c r="BI188" i="23"/>
  <c r="BJ188" i="23" s="1"/>
  <c r="BI192" i="23"/>
  <c r="BJ192" i="23" s="1"/>
  <c r="BI196" i="23"/>
  <c r="BJ196" i="23" s="1"/>
  <c r="BI200" i="23"/>
  <c r="BJ200" i="23" s="1"/>
  <c r="BI204" i="23"/>
  <c r="BJ204" i="23" s="1"/>
  <c r="BI208" i="23"/>
  <c r="BJ208" i="23" s="1"/>
  <c r="BI212" i="23"/>
  <c r="BJ212" i="23" s="1"/>
  <c r="CC30" i="23"/>
  <c r="J14" i="23" s="1"/>
  <c r="BI187" i="23"/>
  <c r="BJ187" i="23" s="1"/>
  <c r="BI199" i="23"/>
  <c r="BJ199" i="23" s="1"/>
  <c r="BI211" i="23"/>
  <c r="BJ211" i="23" s="1"/>
  <c r="L54" i="23"/>
  <c r="BI214" i="23"/>
  <c r="BJ214" i="23" s="1"/>
  <c r="DA30" i="23"/>
  <c r="L14" i="23" s="1"/>
  <c r="CC33" i="23"/>
  <c r="BI189" i="23"/>
  <c r="BJ189" i="23" s="1"/>
  <c r="BI193" i="23"/>
  <c r="BJ193" i="23" s="1"/>
  <c r="BI197" i="23"/>
  <c r="BJ197" i="23" s="1"/>
  <c r="BI201" i="23"/>
  <c r="BJ201" i="23" s="1"/>
  <c r="BI205" i="23"/>
  <c r="BJ205" i="23" s="1"/>
  <c r="BI209" i="23"/>
  <c r="BJ209" i="23" s="1"/>
  <c r="BI185" i="23"/>
  <c r="BJ185" i="23" s="1"/>
  <c r="BI191" i="23"/>
  <c r="BJ191" i="23" s="1"/>
  <c r="BI203" i="23"/>
  <c r="BJ203" i="23" s="1"/>
  <c r="J54" i="23"/>
  <c r="BI183" i="23"/>
  <c r="CR33" i="23"/>
  <c r="BI186" i="23"/>
  <c r="BJ186" i="23" s="1"/>
  <c r="BI190" i="23"/>
  <c r="BJ190" i="23" s="1"/>
  <c r="BI194" i="23"/>
  <c r="BJ194" i="23" s="1"/>
  <c r="BI198" i="23"/>
  <c r="BJ198" i="23" s="1"/>
  <c r="BI202" i="23"/>
  <c r="BJ202" i="23" s="1"/>
  <c r="BI206" i="23"/>
  <c r="BJ206" i="23" s="1"/>
  <c r="BI210" i="23"/>
  <c r="BJ210" i="23" s="1"/>
  <c r="BI195" i="23"/>
  <c r="BJ195" i="23" s="1"/>
  <c r="BI207" i="23"/>
  <c r="BJ207" i="23" s="1"/>
  <c r="BI215" i="23"/>
  <c r="BJ215" i="23" s="1"/>
  <c r="BI216" i="23"/>
  <c r="BJ216" i="23" s="1"/>
  <c r="BI217" i="23"/>
  <c r="BJ217" i="23" s="1"/>
  <c r="BO27" i="25"/>
  <c r="J19" i="25"/>
  <c r="L25" i="25"/>
  <c r="K19" i="25"/>
  <c r="J37" i="25"/>
  <c r="L31" i="25"/>
  <c r="K31" i="25"/>
  <c r="K37" i="25"/>
  <c r="K25" i="25"/>
  <c r="BF121" i="30"/>
  <c r="BJ121" i="30"/>
  <c r="BH82" i="30"/>
  <c r="BH84" i="30" s="1"/>
  <c r="AY166" i="30"/>
  <c r="AZ165" i="30"/>
  <c r="BI81" i="30" s="1"/>
  <c r="BH223" i="26"/>
  <c r="BI223" i="26" s="1"/>
  <c r="BG224" i="26"/>
  <c r="BK182" i="25"/>
  <c r="BR57" i="25" s="1"/>
  <c r="BJ183" i="25"/>
  <c r="BI146" i="20"/>
  <c r="BI147" i="20" s="1"/>
  <c r="BG217" i="3"/>
  <c r="BN56" i="23" l="1"/>
  <c r="BO56" i="23" s="1"/>
  <c r="BM27" i="25"/>
  <c r="BN27" i="25" s="1"/>
  <c r="CK131" i="36"/>
  <c r="BK203" i="36"/>
  <c r="CU57" i="36" s="1"/>
  <c r="BJ204" i="36"/>
  <c r="DA70" i="36"/>
  <c r="CM70" i="36"/>
  <c r="CM99" i="36" s="1"/>
  <c r="CM131" i="36" s="1"/>
  <c r="CT58" i="36"/>
  <c r="CT60" i="36" s="1"/>
  <c r="CM98" i="35"/>
  <c r="CM127" i="35" s="1"/>
  <c r="CM129" i="35" s="1"/>
  <c r="CT86" i="35"/>
  <c r="CT88" i="35" s="1"/>
  <c r="DA98" i="35"/>
  <c r="CK129" i="35"/>
  <c r="BK211" i="35"/>
  <c r="CU85" i="35" s="1"/>
  <c r="BJ212" i="35"/>
  <c r="AS170" i="20"/>
  <c r="S173" i="20"/>
  <c r="T172" i="20"/>
  <c r="AE170" i="20"/>
  <c r="R172" i="20"/>
  <c r="V171" i="20"/>
  <c r="DE107" i="23"/>
  <c r="D147" i="23" s="1"/>
  <c r="K12" i="23"/>
  <c r="L12" i="23"/>
  <c r="J55" i="23"/>
  <c r="L55" i="23"/>
  <c r="BM107" i="23"/>
  <c r="BJ183" i="23"/>
  <c r="BK183" i="23" s="1"/>
  <c r="J12" i="23"/>
  <c r="BN29" i="23"/>
  <c r="BO29" i="23" s="1"/>
  <c r="BN32" i="23"/>
  <c r="BO32" i="23" s="1"/>
  <c r="BP33" i="23"/>
  <c r="BR27" i="23"/>
  <c r="J8" i="23" s="1"/>
  <c r="CP27" i="23"/>
  <c r="K85" i="25"/>
  <c r="M85" i="25"/>
  <c r="I126" i="25"/>
  <c r="J126" i="25"/>
  <c r="AY167" i="30"/>
  <c r="AZ166" i="30"/>
  <c r="BJ81" i="30" s="1"/>
  <c r="BI82" i="30"/>
  <c r="BI84" i="30" s="1"/>
  <c r="BL120" i="30"/>
  <c r="BF120" i="30"/>
  <c r="BG225" i="26"/>
  <c r="BH225" i="26" s="1"/>
  <c r="BH224" i="26"/>
  <c r="BI224" i="26" s="1"/>
  <c r="BK183" i="25"/>
  <c r="BS57" i="25" s="1"/>
  <c r="BJ184" i="25"/>
  <c r="BR58" i="25"/>
  <c r="BR60" i="25" s="1"/>
  <c r="BS137" i="25"/>
  <c r="BQ137" i="25"/>
  <c r="BG218" i="3"/>
  <c r="BN33" i="23" l="1"/>
  <c r="BO33" i="23" s="1"/>
  <c r="L6" i="23"/>
  <c r="L7" i="23" s="1"/>
  <c r="L8" i="23"/>
  <c r="CO69" i="36"/>
  <c r="CO99" i="36" s="1"/>
  <c r="CO131" i="36" s="1"/>
  <c r="CU58" i="36"/>
  <c r="CU60" i="36" s="1"/>
  <c r="DA69" i="36"/>
  <c r="BK204" i="36"/>
  <c r="CV57" i="36" s="1"/>
  <c r="BJ205" i="36"/>
  <c r="DA97" i="35"/>
  <c r="CO97" i="35"/>
  <c r="CO127" i="35" s="1"/>
  <c r="CU86" i="35"/>
  <c r="CU88" i="35" s="1"/>
  <c r="BK212" i="35"/>
  <c r="CV85" i="35" s="1"/>
  <c r="BJ213" i="35"/>
  <c r="AS171" i="20"/>
  <c r="AE171" i="20"/>
  <c r="V172" i="20"/>
  <c r="R173" i="20"/>
  <c r="S174" i="20"/>
  <c r="T174" i="20" s="1"/>
  <c r="V174" i="20" s="1"/>
  <c r="T173" i="20"/>
  <c r="D145" i="23"/>
  <c r="BK184" i="23"/>
  <c r="BK185" i="23" s="1"/>
  <c r="BL183" i="23"/>
  <c r="BR57" i="23" s="1"/>
  <c r="BR58" i="23" s="1"/>
  <c r="BR60" i="23" s="1"/>
  <c r="H23" i="23"/>
  <c r="D146" i="23"/>
  <c r="H16" i="23"/>
  <c r="D144" i="23"/>
  <c r="L13" i="23"/>
  <c r="K6" i="23"/>
  <c r="J6" i="23"/>
  <c r="BN26" i="23"/>
  <c r="BO26" i="23" s="1"/>
  <c r="J13" i="23"/>
  <c r="M126" i="23"/>
  <c r="K13" i="23"/>
  <c r="BF119" i="30"/>
  <c r="BN119" i="30"/>
  <c r="BJ82" i="30"/>
  <c r="BJ84" i="30" s="1"/>
  <c r="AY168" i="30"/>
  <c r="AZ167" i="30"/>
  <c r="BK81" i="30" s="1"/>
  <c r="BI225" i="26"/>
  <c r="BJ189" i="26" s="1"/>
  <c r="DD133" i="26"/>
  <c r="D132" i="26" s="1"/>
  <c r="BK184" i="25"/>
  <c r="BT57" i="25" s="1"/>
  <c r="BJ185" i="25"/>
  <c r="BS58" i="25"/>
  <c r="BS60" i="25" s="1"/>
  <c r="BQ136" i="25"/>
  <c r="BU136" i="25"/>
  <c r="BG219" i="3"/>
  <c r="BL184" i="23" l="1"/>
  <c r="BS57" i="23" s="1"/>
  <c r="BS58" i="23" s="1"/>
  <c r="BS60" i="23" s="1"/>
  <c r="BK205" i="36"/>
  <c r="CW57" i="36" s="1"/>
  <c r="BJ206" i="36"/>
  <c r="CV58" i="36"/>
  <c r="CV60" i="36" s="1"/>
  <c r="DA68" i="36"/>
  <c r="CQ68" i="36"/>
  <c r="CQ99" i="36" s="1"/>
  <c r="CO129" i="35"/>
  <c r="BK213" i="35"/>
  <c r="CW85" i="35" s="1"/>
  <c r="BJ214" i="35"/>
  <c r="CQ96" i="35"/>
  <c r="CQ127" i="35" s="1"/>
  <c r="DA96" i="35"/>
  <c r="CV86" i="35"/>
  <c r="CV88" i="35" s="1"/>
  <c r="AS172" i="20"/>
  <c r="AS174" i="20"/>
  <c r="V173" i="20"/>
  <c r="AF173" i="20" s="1"/>
  <c r="R174" i="20"/>
  <c r="AE172" i="20"/>
  <c r="AF174" i="20"/>
  <c r="AE174" i="20"/>
  <c r="K7" i="23"/>
  <c r="K24" i="23"/>
  <c r="L30" i="23"/>
  <c r="L24" i="23"/>
  <c r="K30" i="23"/>
  <c r="J7" i="23"/>
  <c r="BP30" i="23"/>
  <c r="J18" i="23"/>
  <c r="K18" i="23"/>
  <c r="J36" i="23"/>
  <c r="K36" i="23"/>
  <c r="BP118" i="30"/>
  <c r="BP123" i="30" s="1"/>
  <c r="BP125" i="30" s="1"/>
  <c r="BF118" i="30"/>
  <c r="BK82" i="30"/>
  <c r="BK84" i="30" s="1"/>
  <c r="AZ168" i="30"/>
  <c r="BL81" i="30" s="1"/>
  <c r="AY169" i="30"/>
  <c r="D130" i="26"/>
  <c r="BK189" i="26"/>
  <c r="BQ83" i="26" s="1"/>
  <c r="BQ84" i="26" s="1"/>
  <c r="BQ86" i="26" s="1"/>
  <c r="BJ190" i="26"/>
  <c r="BK185" i="25"/>
  <c r="BU57" i="25" s="1"/>
  <c r="BJ186" i="25"/>
  <c r="BT58" i="25"/>
  <c r="BT60" i="25" s="1"/>
  <c r="BW135" i="25"/>
  <c r="BQ135" i="25"/>
  <c r="BL185" i="23"/>
  <c r="BT57" i="23" s="1"/>
  <c r="BK186" i="23"/>
  <c r="BN30" i="23" l="1"/>
  <c r="BO30" i="23" s="1"/>
  <c r="BR97" i="23"/>
  <c r="BT97" i="23"/>
  <c r="BK206" i="36"/>
  <c r="CX57" i="36" s="1"/>
  <c r="BJ207" i="36"/>
  <c r="CQ131" i="36"/>
  <c r="CS67" i="36"/>
  <c r="CS99" i="36" s="1"/>
  <c r="CS131" i="36" s="1"/>
  <c r="CW58" i="36"/>
  <c r="CW60" i="36" s="1"/>
  <c r="DA67" i="36"/>
  <c r="DA95" i="35"/>
  <c r="CW86" i="35"/>
  <c r="CW88" i="35" s="1"/>
  <c r="CS95" i="35"/>
  <c r="CS127" i="35" s="1"/>
  <c r="BK214" i="35"/>
  <c r="CX85" i="35" s="1"/>
  <c r="BJ215" i="35"/>
  <c r="CQ129" i="35"/>
  <c r="AF162" i="20"/>
  <c r="AF170" i="20"/>
  <c r="AF166" i="20"/>
  <c r="AF163" i="20"/>
  <c r="AF156" i="20"/>
  <c r="AF152" i="20"/>
  <c r="AF172" i="20"/>
  <c r="AF157" i="20"/>
  <c r="AF169" i="20"/>
  <c r="AF165" i="20"/>
  <c r="AF161" i="20"/>
  <c r="AF155" i="20"/>
  <c r="AF151" i="20"/>
  <c r="AF167" i="20"/>
  <c r="AF154" i="20"/>
  <c r="AF159" i="20"/>
  <c r="AF168" i="20"/>
  <c r="AF164" i="20"/>
  <c r="AF160" i="20"/>
  <c r="AF153" i="20"/>
  <c r="AF149" i="20"/>
  <c r="AF171" i="20"/>
  <c r="AF150" i="20"/>
  <c r="AS173" i="20"/>
  <c r="AF158" i="20"/>
  <c r="AE173" i="20"/>
  <c r="AD172" i="20" s="1"/>
  <c r="AC172" i="20" s="1"/>
  <c r="K37" i="23"/>
  <c r="L25" i="23"/>
  <c r="J37" i="23"/>
  <c r="BP27" i="23"/>
  <c r="L31" i="23"/>
  <c r="K19" i="23"/>
  <c r="K25" i="23"/>
  <c r="J19" i="23"/>
  <c r="K31" i="23"/>
  <c r="BF117" i="30"/>
  <c r="BR117" i="30"/>
  <c r="BR123" i="30" s="1"/>
  <c r="BR125" i="30" s="1"/>
  <c r="BL82" i="30"/>
  <c r="BL84" i="30" s="1"/>
  <c r="AY170" i="30"/>
  <c r="AZ169" i="30"/>
  <c r="BM81" i="30" s="1"/>
  <c r="BK190" i="26"/>
  <c r="BR83" i="26" s="1"/>
  <c r="BJ191" i="26"/>
  <c r="BJ187" i="25"/>
  <c r="BK186" i="25"/>
  <c r="BV57" i="25" s="1"/>
  <c r="BY134" i="25"/>
  <c r="BQ134" i="25"/>
  <c r="BU58" i="25"/>
  <c r="BU60" i="25" s="1"/>
  <c r="BT58" i="23"/>
  <c r="BT60" i="23" s="1"/>
  <c r="BR96" i="23"/>
  <c r="BV96" i="23"/>
  <c r="BK187" i="23"/>
  <c r="BL186" i="23"/>
  <c r="BU57" i="23" s="1"/>
  <c r="BN27" i="23" l="1"/>
  <c r="BO27" i="23" s="1"/>
  <c r="DA66" i="36"/>
  <c r="CU66" i="36"/>
  <c r="CU99" i="36" s="1"/>
  <c r="CX58" i="36"/>
  <c r="CX60" i="36" s="1"/>
  <c r="BK207" i="36"/>
  <c r="CY57" i="36" s="1"/>
  <c r="BJ208" i="36"/>
  <c r="CS129" i="35"/>
  <c r="CU94" i="35"/>
  <c r="CU127" i="35" s="1"/>
  <c r="CX86" i="35"/>
  <c r="CX88" i="35" s="1"/>
  <c r="DA94" i="35"/>
  <c r="BK215" i="35"/>
  <c r="CY85" i="35" s="1"/>
  <c r="BJ216" i="35"/>
  <c r="AD158" i="20"/>
  <c r="AC158" i="20" s="1"/>
  <c r="AD160" i="20"/>
  <c r="AC160" i="20" s="1"/>
  <c r="AD149" i="20"/>
  <c r="AC149" i="20" s="1"/>
  <c r="AD156" i="20"/>
  <c r="AC156" i="20" s="1"/>
  <c r="AD168" i="20"/>
  <c r="AC168" i="20" s="1"/>
  <c r="AD155" i="20"/>
  <c r="AC155" i="20" s="1"/>
  <c r="AD153" i="20"/>
  <c r="AC153" i="20" s="1"/>
  <c r="AD165" i="20"/>
  <c r="AC165" i="20" s="1"/>
  <c r="AD174" i="20"/>
  <c r="AC174" i="20" s="1"/>
  <c r="AD162" i="20"/>
  <c r="AC162" i="20" s="1"/>
  <c r="AD150" i="20"/>
  <c r="AC150" i="20" s="1"/>
  <c r="AD157" i="20"/>
  <c r="AC157" i="20" s="1"/>
  <c r="AD163" i="20"/>
  <c r="AC163" i="20" s="1"/>
  <c r="AD151" i="20"/>
  <c r="AC151" i="20" s="1"/>
  <c r="AD170" i="20"/>
  <c r="AC170" i="20" s="1"/>
  <c r="AD161" i="20"/>
  <c r="AC161" i="20" s="1"/>
  <c r="AD152" i="20"/>
  <c r="AC152" i="20" s="1"/>
  <c r="AD167" i="20"/>
  <c r="AC167" i="20" s="1"/>
  <c r="AD173" i="20"/>
  <c r="AC173" i="20" s="1"/>
  <c r="AD159" i="20"/>
  <c r="AC159" i="20" s="1"/>
  <c r="AD164" i="20"/>
  <c r="AC164" i="20" s="1"/>
  <c r="AD166" i="20"/>
  <c r="AC166" i="20" s="1"/>
  <c r="AD169" i="20"/>
  <c r="AC169" i="20" s="1"/>
  <c r="AD154" i="20"/>
  <c r="AC154" i="20" s="1"/>
  <c r="AD171" i="20"/>
  <c r="AC171" i="20" s="1"/>
  <c r="K85" i="23"/>
  <c r="I126" i="23"/>
  <c r="M85" i="23"/>
  <c r="J126" i="23"/>
  <c r="BM82" i="30"/>
  <c r="BM84" i="30" s="1"/>
  <c r="BT116" i="30"/>
  <c r="BT123" i="30" s="1"/>
  <c r="BT125" i="30" s="1"/>
  <c r="BF116" i="30"/>
  <c r="AY171" i="30"/>
  <c r="AZ170" i="30"/>
  <c r="BN81" i="30" s="1"/>
  <c r="BK191" i="26"/>
  <c r="BS83" i="26" s="1"/>
  <c r="BJ192" i="26"/>
  <c r="BR84" i="26"/>
  <c r="BR86" i="26" s="1"/>
  <c r="BS124" i="26"/>
  <c r="BQ124" i="26"/>
  <c r="BV58" i="25"/>
  <c r="BV60" i="25" s="1"/>
  <c r="CA133" i="25"/>
  <c r="CA138" i="25" s="1"/>
  <c r="CA140" i="25" s="1"/>
  <c r="BQ133" i="25"/>
  <c r="BK187" i="25"/>
  <c r="BW57" i="25" s="1"/>
  <c r="BJ188" i="25"/>
  <c r="BL187" i="23"/>
  <c r="BV57" i="23" s="1"/>
  <c r="BK188" i="23"/>
  <c r="BU58" i="23"/>
  <c r="BU60" i="23" s="1"/>
  <c r="BX95" i="23"/>
  <c r="BR95" i="23"/>
  <c r="CW65" i="36" l="1"/>
  <c r="CW99" i="36" s="1"/>
  <c r="CW131" i="36" s="1"/>
  <c r="CY58" i="36"/>
  <c r="CY60" i="36" s="1"/>
  <c r="DA65" i="36"/>
  <c r="CU131" i="36"/>
  <c r="BK208" i="36"/>
  <c r="CZ57" i="36" s="1"/>
  <c r="BJ209" i="36"/>
  <c r="BK209" i="36" s="1"/>
  <c r="DA57" i="36" s="1"/>
  <c r="DA58" i="36" s="1"/>
  <c r="DA60" i="36" s="1"/>
  <c r="BJ217" i="35"/>
  <c r="BK217" i="35" s="1"/>
  <c r="DA85" i="35" s="1"/>
  <c r="DA86" i="35" s="1"/>
  <c r="DA88" i="35" s="1"/>
  <c r="BK216" i="35"/>
  <c r="CZ85" i="35" s="1"/>
  <c r="DA93" i="35"/>
  <c r="CW93" i="35"/>
  <c r="CW127" i="35" s="1"/>
  <c r="CY86" i="35"/>
  <c r="CY88" i="35" s="1"/>
  <c r="CU129" i="35"/>
  <c r="AC148" i="20"/>
  <c r="BF115" i="30"/>
  <c r="BF123" i="30" s="1"/>
  <c r="BV115" i="30"/>
  <c r="BN82" i="30"/>
  <c r="BN84" i="30" s="1"/>
  <c r="AY172" i="30"/>
  <c r="AZ171" i="30"/>
  <c r="BO81" i="30" s="1"/>
  <c r="BK192" i="26"/>
  <c r="BT83" i="26" s="1"/>
  <c r="BJ193" i="26"/>
  <c r="BS84" i="26"/>
  <c r="BS86" i="26" s="1"/>
  <c r="BQ123" i="26"/>
  <c r="BU123" i="26"/>
  <c r="BW58" i="25"/>
  <c r="BW60" i="25" s="1"/>
  <c r="BQ132" i="25"/>
  <c r="CC132" i="25"/>
  <c r="CC138" i="25" s="1"/>
  <c r="CC140" i="25" s="1"/>
  <c r="BJ189" i="25"/>
  <c r="BK188" i="25"/>
  <c r="BX57" i="25" s="1"/>
  <c r="BK189" i="23"/>
  <c r="BL188" i="23"/>
  <c r="BW57" i="23" s="1"/>
  <c r="BV58" i="23"/>
  <c r="BV60" i="23" s="1"/>
  <c r="BR94" i="23"/>
  <c r="BZ94" i="23"/>
  <c r="CZ58" i="36" l="1"/>
  <c r="CZ60" i="36" s="1"/>
  <c r="BO61" i="36" s="1"/>
  <c r="DA64" i="36"/>
  <c r="DA99" i="36" s="1"/>
  <c r="DA131" i="36" s="1"/>
  <c r="CY64" i="36"/>
  <c r="CY99" i="36" s="1"/>
  <c r="CW129" i="35"/>
  <c r="CY92" i="35"/>
  <c r="CY127" i="35" s="1"/>
  <c r="CY129" i="35" s="1"/>
  <c r="DA92" i="35"/>
  <c r="DA127" i="35" s="1"/>
  <c r="DA129" i="35" s="1"/>
  <c r="CZ86" i="35"/>
  <c r="CZ88" i="35" s="1"/>
  <c r="BO89" i="35" s="1"/>
  <c r="AA149" i="20"/>
  <c r="AO157" i="20" s="1"/>
  <c r="AT157" i="20" s="1"/>
  <c r="BF125" i="30"/>
  <c r="BV114" i="30"/>
  <c r="BO82" i="30"/>
  <c r="BO84" i="30" s="1"/>
  <c r="BH114" i="30"/>
  <c r="BH123" i="30" s="1"/>
  <c r="BH125" i="30" s="1"/>
  <c r="AZ172" i="30"/>
  <c r="BP81" i="30" s="1"/>
  <c r="AY173" i="30"/>
  <c r="BK193" i="26"/>
  <c r="BU83" i="26" s="1"/>
  <c r="BJ194" i="26"/>
  <c r="BT84" i="26"/>
  <c r="BT86" i="26" s="1"/>
  <c r="BW122" i="26"/>
  <c r="BQ122" i="26"/>
  <c r="BK189" i="25"/>
  <c r="BY57" i="25" s="1"/>
  <c r="BJ190" i="25"/>
  <c r="BX58" i="25"/>
  <c r="BX60" i="25" s="1"/>
  <c r="CE131" i="25"/>
  <c r="CE138" i="25" s="1"/>
  <c r="CE140" i="25" s="1"/>
  <c r="BQ131" i="25"/>
  <c r="BW58" i="23"/>
  <c r="BW60" i="23" s="1"/>
  <c r="CB93" i="23"/>
  <c r="CB98" i="23" s="1"/>
  <c r="CB100" i="23" s="1"/>
  <c r="BR93" i="23"/>
  <c r="BK190" i="23"/>
  <c r="BL189" i="23"/>
  <c r="BX57" i="23" s="1"/>
  <c r="BM89" i="35" l="1"/>
  <c r="BN89" i="35" s="1"/>
  <c r="BM61" i="36"/>
  <c r="BN61" i="36" s="1"/>
  <c r="AO164" i="20"/>
  <c r="AT164" i="20" s="1"/>
  <c r="AW164" i="20" s="1"/>
  <c r="AY164" i="20" s="1"/>
  <c r="BC164" i="20" s="1"/>
  <c r="G164" i="20" s="1"/>
  <c r="AO154" i="20"/>
  <c r="AT154" i="20" s="1"/>
  <c r="AV154" i="20" s="1"/>
  <c r="AX154" i="20" s="1"/>
  <c r="BA154" i="20" s="1"/>
  <c r="CY131" i="36"/>
  <c r="L131" i="36" s="1"/>
  <c r="I131" i="36"/>
  <c r="I132" i="36" s="1"/>
  <c r="H47" i="36"/>
  <c r="H48" i="36" s="1"/>
  <c r="L131" i="35"/>
  <c r="H47" i="35"/>
  <c r="H48" i="35" s="1"/>
  <c r="I131" i="35"/>
  <c r="I132" i="35" s="1"/>
  <c r="AO160" i="20"/>
  <c r="AT160" i="20" s="1"/>
  <c r="AW160" i="20" s="1"/>
  <c r="AY160" i="20" s="1"/>
  <c r="BC160" i="20" s="1"/>
  <c r="G160" i="20" s="1"/>
  <c r="AO158" i="20"/>
  <c r="AT158" i="20" s="1"/>
  <c r="AV158" i="20" s="1"/>
  <c r="AX158" i="20" s="1"/>
  <c r="BA158" i="20" s="1"/>
  <c r="AO172" i="20"/>
  <c r="AT172" i="20" s="1"/>
  <c r="AO165" i="20"/>
  <c r="AT165" i="20" s="1"/>
  <c r="AV165" i="20" s="1"/>
  <c r="AX165" i="20" s="1"/>
  <c r="BA165" i="20" s="1"/>
  <c r="AO174" i="20"/>
  <c r="AT174" i="20" s="1"/>
  <c r="AV174" i="20" s="1"/>
  <c r="AX174" i="20" s="1"/>
  <c r="BA174" i="20" s="1"/>
  <c r="AO156" i="20"/>
  <c r="AT156" i="20" s="1"/>
  <c r="AW156" i="20" s="1"/>
  <c r="AY156" i="20" s="1"/>
  <c r="BB156" i="20" s="1"/>
  <c r="AO171" i="20"/>
  <c r="AT171" i="20" s="1"/>
  <c r="AW171" i="20" s="1"/>
  <c r="AY171" i="20" s="1"/>
  <c r="BC171" i="20" s="1"/>
  <c r="G171" i="20" s="1"/>
  <c r="AO153" i="20"/>
  <c r="AT153" i="20" s="1"/>
  <c r="AW153" i="20" s="1"/>
  <c r="AY153" i="20" s="1"/>
  <c r="BB153" i="20" s="1"/>
  <c r="AO173" i="20"/>
  <c r="AT173" i="20" s="1"/>
  <c r="AW173" i="20" s="1"/>
  <c r="AY173" i="20" s="1"/>
  <c r="BC173" i="20" s="1"/>
  <c r="G173" i="20" s="1"/>
  <c r="AO170" i="20"/>
  <c r="AT170" i="20" s="1"/>
  <c r="AV170" i="20" s="1"/>
  <c r="AX170" i="20" s="1"/>
  <c r="BA170" i="20" s="1"/>
  <c r="AO150" i="20"/>
  <c r="AT150" i="20" s="1"/>
  <c r="AW150" i="20" s="1"/>
  <c r="AY150" i="20" s="1"/>
  <c r="BC150" i="20" s="1"/>
  <c r="G150" i="20" s="1"/>
  <c r="AO152" i="20"/>
  <c r="AT152" i="20" s="1"/>
  <c r="AW152" i="20" s="1"/>
  <c r="AY152" i="20" s="1"/>
  <c r="BB152" i="20" s="1"/>
  <c r="AO149" i="20"/>
  <c r="AO145" i="20" s="1"/>
  <c r="C9" i="20" s="1"/>
  <c r="D17" i="20" s="1"/>
  <c r="AO163" i="20"/>
  <c r="AT163" i="20" s="1"/>
  <c r="AW163" i="20" s="1"/>
  <c r="AY163" i="20" s="1"/>
  <c r="BC163" i="20" s="1"/>
  <c r="G163" i="20" s="1"/>
  <c r="AO168" i="20"/>
  <c r="AT168" i="20" s="1"/>
  <c r="AV168" i="20" s="1"/>
  <c r="AX168" i="20" s="1"/>
  <c r="BA168" i="20" s="1"/>
  <c r="AO159" i="20"/>
  <c r="AT159" i="20" s="1"/>
  <c r="AO167" i="20"/>
  <c r="AT167" i="20" s="1"/>
  <c r="AW167" i="20" s="1"/>
  <c r="AY167" i="20" s="1"/>
  <c r="BB167" i="20" s="1"/>
  <c r="AO161" i="20"/>
  <c r="AT161" i="20" s="1"/>
  <c r="AW161" i="20" s="1"/>
  <c r="AY161" i="20" s="1"/>
  <c r="BB161" i="20" s="1"/>
  <c r="AO166" i="20"/>
  <c r="AT166" i="20" s="1"/>
  <c r="AW166" i="20" s="1"/>
  <c r="AY166" i="20" s="1"/>
  <c r="BC166" i="20" s="1"/>
  <c r="G166" i="20" s="1"/>
  <c r="AO155" i="20"/>
  <c r="AT155" i="20" s="1"/>
  <c r="AV155" i="20" s="1"/>
  <c r="AX155" i="20" s="1"/>
  <c r="BA155" i="20" s="1"/>
  <c r="AV157" i="20"/>
  <c r="AX157" i="20" s="1"/>
  <c r="BA157" i="20" s="1"/>
  <c r="AW157" i="20"/>
  <c r="AY157" i="20" s="1"/>
  <c r="BB157" i="20" s="1"/>
  <c r="AO162" i="20"/>
  <c r="AT162" i="20" s="1"/>
  <c r="AW162" i="20" s="1"/>
  <c r="AY162" i="20" s="1"/>
  <c r="AB162" i="20" s="1"/>
  <c r="AO151" i="20"/>
  <c r="AT151" i="20" s="1"/>
  <c r="AW151" i="20" s="1"/>
  <c r="AY151" i="20" s="1"/>
  <c r="AB151" i="20" s="1"/>
  <c r="AO169" i="20"/>
  <c r="AT169" i="20" s="1"/>
  <c r="BJ113" i="30"/>
  <c r="BJ123" i="30" s="1"/>
  <c r="BJ125" i="30" s="1"/>
  <c r="BV113" i="30"/>
  <c r="BP82" i="30"/>
  <c r="BP84" i="30" s="1"/>
  <c r="AY174" i="30"/>
  <c r="AZ173" i="30"/>
  <c r="BQ81" i="30" s="1"/>
  <c r="BK194" i="26"/>
  <c r="BV83" i="26" s="1"/>
  <c r="BJ195" i="26"/>
  <c r="BU84" i="26"/>
  <c r="BU86" i="26" s="1"/>
  <c r="BQ121" i="26"/>
  <c r="BY121" i="26"/>
  <c r="BJ191" i="25"/>
  <c r="BK190" i="25"/>
  <c r="BZ57" i="25" s="1"/>
  <c r="BY58" i="25"/>
  <c r="BY60" i="25" s="1"/>
  <c r="CG130" i="25"/>
  <c r="BQ130" i="25"/>
  <c r="BQ138" i="25" s="1"/>
  <c r="BK191" i="23"/>
  <c r="BL190" i="23"/>
  <c r="BY57" i="23" s="1"/>
  <c r="BX58" i="23"/>
  <c r="BX60" i="23" s="1"/>
  <c r="BR92" i="23"/>
  <c r="CD92" i="23"/>
  <c r="CD98" i="23" s="1"/>
  <c r="CD100" i="23" s="1"/>
  <c r="BB164" i="20" l="1"/>
  <c r="AV164" i="20"/>
  <c r="AX164" i="20" s="1"/>
  <c r="BA164" i="20" s="1"/>
  <c r="AW154" i="20"/>
  <c r="AY154" i="20" s="1"/>
  <c r="BB154" i="20" s="1"/>
  <c r="AB164" i="20"/>
  <c r="AW170" i="20"/>
  <c r="AY170" i="20" s="1"/>
  <c r="BC170" i="20" s="1"/>
  <c r="G170" i="20" s="1"/>
  <c r="AB161" i="20"/>
  <c r="BC161" i="20"/>
  <c r="G161" i="20" s="1"/>
  <c r="BB163" i="20"/>
  <c r="BB166" i="20"/>
  <c r="AB171" i="20"/>
  <c r="BC157" i="20"/>
  <c r="G157" i="20" s="1"/>
  <c r="BB162" i="20"/>
  <c r="AB156" i="20"/>
  <c r="AW158" i="20"/>
  <c r="AY158" i="20" s="1"/>
  <c r="BC158" i="20" s="1"/>
  <c r="G158" i="20" s="1"/>
  <c r="BC162" i="20"/>
  <c r="G162" i="20" s="1"/>
  <c r="AV171" i="20"/>
  <c r="AX171" i="20" s="1"/>
  <c r="BA171" i="20" s="1"/>
  <c r="AB157" i="20"/>
  <c r="BC156" i="20"/>
  <c r="G156" i="20" s="1"/>
  <c r="AB166" i="20"/>
  <c r="AB163" i="20"/>
  <c r="BB150" i="20"/>
  <c r="AV163" i="20"/>
  <c r="AX163" i="20" s="1"/>
  <c r="BA163" i="20" s="1"/>
  <c r="AB150" i="20"/>
  <c r="BB171" i="20"/>
  <c r="AV161" i="20"/>
  <c r="AX161" i="20" s="1"/>
  <c r="BA161" i="20" s="1"/>
  <c r="AV156" i="20"/>
  <c r="AX156" i="20" s="1"/>
  <c r="BA156" i="20" s="1"/>
  <c r="L48" i="36"/>
  <c r="K48" i="36"/>
  <c r="AV150" i="20"/>
  <c r="AX150" i="20" s="1"/>
  <c r="BA150" i="20" s="1"/>
  <c r="AV166" i="20"/>
  <c r="AX166" i="20" s="1"/>
  <c r="BA166" i="20" s="1"/>
  <c r="D3" i="20"/>
  <c r="BJ117" i="20" s="1"/>
  <c r="BK117" i="20" s="1"/>
  <c r="AB173" i="20"/>
  <c r="BB160" i="20"/>
  <c r="AW174" i="20"/>
  <c r="AY174" i="20" s="1"/>
  <c r="AB174" i="20" s="1"/>
  <c r="BC167" i="20"/>
  <c r="G167" i="20" s="1"/>
  <c r="AW168" i="20"/>
  <c r="AY168" i="20" s="1"/>
  <c r="BC168" i="20" s="1"/>
  <c r="G168" i="20" s="1"/>
  <c r="F17" i="20"/>
  <c r="AB167" i="20"/>
  <c r="AT149" i="20"/>
  <c r="AV149" i="20" s="1"/>
  <c r="AX149" i="20" s="1"/>
  <c r="BA149" i="20" s="1"/>
  <c r="AV173" i="20"/>
  <c r="AX173" i="20" s="1"/>
  <c r="BA173" i="20" s="1"/>
  <c r="C3" i="20"/>
  <c r="C5" i="20"/>
  <c r="AB160" i="20"/>
  <c r="BB173" i="20"/>
  <c r="AV160" i="20"/>
  <c r="AX160" i="20" s="1"/>
  <c r="BA160" i="20" s="1"/>
  <c r="AV167" i="20"/>
  <c r="AX167" i="20" s="1"/>
  <c r="BA167" i="20" s="1"/>
  <c r="L48" i="35"/>
  <c r="K48" i="35"/>
  <c r="AV153" i="20"/>
  <c r="AX153" i="20" s="1"/>
  <c r="BA153" i="20" s="1"/>
  <c r="AV152" i="20"/>
  <c r="AX152" i="20" s="1"/>
  <c r="BA152" i="20" s="1"/>
  <c r="AV162" i="20"/>
  <c r="AX162" i="20" s="1"/>
  <c r="BA162" i="20" s="1"/>
  <c r="AB152" i="20"/>
  <c r="AW159" i="20"/>
  <c r="AY159" i="20" s="1"/>
  <c r="AV159" i="20"/>
  <c r="AX159" i="20" s="1"/>
  <c r="BA159" i="20" s="1"/>
  <c r="BC153" i="20"/>
  <c r="G153" i="20" s="1"/>
  <c r="AV172" i="20"/>
  <c r="AX172" i="20" s="1"/>
  <c r="BA172" i="20" s="1"/>
  <c r="AW172" i="20"/>
  <c r="AY172" i="20" s="1"/>
  <c r="BC152" i="20"/>
  <c r="G152" i="20" s="1"/>
  <c r="AB153" i="20"/>
  <c r="AW165" i="20"/>
  <c r="AY165" i="20" s="1"/>
  <c r="AB165" i="20" s="1"/>
  <c r="AW155" i="20"/>
  <c r="AY155" i="20" s="1"/>
  <c r="BB151" i="20"/>
  <c r="BC151" i="20"/>
  <c r="G151" i="20" s="1"/>
  <c r="AV151" i="20"/>
  <c r="AX151" i="20" s="1"/>
  <c r="BA151" i="20" s="1"/>
  <c r="AW169" i="20"/>
  <c r="AY169" i="20" s="1"/>
  <c r="AV169" i="20"/>
  <c r="AX169" i="20" s="1"/>
  <c r="BA169" i="20" s="1"/>
  <c r="BQ140" i="25"/>
  <c r="AY175" i="30"/>
  <c r="AZ174" i="30"/>
  <c r="BR81" i="30" s="1"/>
  <c r="BQ82" i="30"/>
  <c r="BQ84" i="30" s="1"/>
  <c r="BV112" i="30"/>
  <c r="BL112" i="30"/>
  <c r="BL123" i="30" s="1"/>
  <c r="BL125" i="30" s="1"/>
  <c r="BK195" i="26"/>
  <c r="BW83" i="26" s="1"/>
  <c r="BJ196" i="26"/>
  <c r="BV84" i="26"/>
  <c r="BV86" i="26" s="1"/>
  <c r="CA120" i="26"/>
  <c r="CA125" i="26" s="1"/>
  <c r="CA127" i="26" s="1"/>
  <c r="BQ120" i="26"/>
  <c r="BZ58" i="25"/>
  <c r="BZ60" i="25" s="1"/>
  <c r="CG129" i="25"/>
  <c r="BS129" i="25"/>
  <c r="BS138" i="25" s="1"/>
  <c r="BS140" i="25" s="1"/>
  <c r="BK191" i="25"/>
  <c r="CA57" i="25" s="1"/>
  <c r="BJ192" i="25"/>
  <c r="BY58" i="23"/>
  <c r="BY60" i="23" s="1"/>
  <c r="BR91" i="23"/>
  <c r="CF91" i="23"/>
  <c r="CF98" i="23" s="1"/>
  <c r="CF100" i="23" s="1"/>
  <c r="BK192" i="23"/>
  <c r="BL191" i="23"/>
  <c r="BZ57" i="23" s="1"/>
  <c r="BB170" i="20" l="1"/>
  <c r="AB154" i="20"/>
  <c r="BC154" i="20"/>
  <c r="G154" i="20" s="1"/>
  <c r="BB165" i="20"/>
  <c r="AW149" i="20"/>
  <c r="AY149" i="20" s="1"/>
  <c r="BB149" i="20" s="1"/>
  <c r="AB170" i="20"/>
  <c r="BJ113" i="20"/>
  <c r="BK113" i="20" s="1"/>
  <c r="BB158" i="20"/>
  <c r="BJ121" i="20"/>
  <c r="BK121" i="20" s="1"/>
  <c r="AB158" i="20"/>
  <c r="BJ116" i="20"/>
  <c r="BK116" i="20" s="1"/>
  <c r="CS35" i="20"/>
  <c r="BJ130" i="20"/>
  <c r="BK130" i="20" s="1"/>
  <c r="BJ128" i="20"/>
  <c r="BK128" i="20" s="1"/>
  <c r="BJ135" i="20"/>
  <c r="BK135" i="20" s="1"/>
  <c r="DB32" i="20"/>
  <c r="BJ129" i="20"/>
  <c r="BK129" i="20" s="1"/>
  <c r="BJ137" i="20"/>
  <c r="BK137" i="20" s="1"/>
  <c r="L49" i="36"/>
  <c r="K49" i="36"/>
  <c r="BJ132" i="20"/>
  <c r="BK132" i="20" s="1"/>
  <c r="D5" i="20"/>
  <c r="CQ29" i="20" s="1"/>
  <c r="BJ123" i="20"/>
  <c r="BK123" i="20" s="1"/>
  <c r="BJ118" i="20"/>
  <c r="BK118" i="20" s="1"/>
  <c r="BJ143" i="20"/>
  <c r="BK143" i="20" s="1"/>
  <c r="BJ127" i="20"/>
  <c r="BK127" i="20" s="1"/>
  <c r="BJ138" i="20"/>
  <c r="BK138" i="20" s="1"/>
  <c r="BJ124" i="20"/>
  <c r="BK124" i="20" s="1"/>
  <c r="CD32" i="20"/>
  <c r="J16" i="20" s="1"/>
  <c r="BJ144" i="20"/>
  <c r="BK144" i="20" s="1"/>
  <c r="BJ145" i="20"/>
  <c r="BK145" i="20" s="1"/>
  <c r="CD35" i="20"/>
  <c r="BJ115" i="20"/>
  <c r="BK115" i="20" s="1"/>
  <c r="BJ142" i="20"/>
  <c r="BK142" i="20" s="1"/>
  <c r="BJ119" i="20"/>
  <c r="BK119" i="20" s="1"/>
  <c r="J56" i="20"/>
  <c r="BJ141" i="20"/>
  <c r="BK141" i="20" s="1"/>
  <c r="BJ112" i="20"/>
  <c r="BK112" i="20" s="1"/>
  <c r="BJ131" i="20"/>
  <c r="BK131" i="20" s="1"/>
  <c r="BJ111" i="20"/>
  <c r="BN109" i="20" s="1"/>
  <c r="BJ120" i="20"/>
  <c r="BK120" i="20" s="1"/>
  <c r="BJ114" i="20"/>
  <c r="BK114" i="20" s="1"/>
  <c r="BJ133" i="20"/>
  <c r="BK133" i="20" s="1"/>
  <c r="BJ140" i="20"/>
  <c r="BK140" i="20" s="1"/>
  <c r="BJ126" i="20"/>
  <c r="BK126" i="20" s="1"/>
  <c r="BJ146" i="20"/>
  <c r="BK146" i="20" s="1"/>
  <c r="BJ125" i="20"/>
  <c r="BK125" i="20" s="1"/>
  <c r="L56" i="20"/>
  <c r="BJ134" i="20"/>
  <c r="BK134" i="20" s="1"/>
  <c r="BJ147" i="20"/>
  <c r="DF109" i="20" s="1"/>
  <c r="BJ122" i="20"/>
  <c r="BK122" i="20" s="1"/>
  <c r="BJ139" i="20"/>
  <c r="BK139" i="20" s="1"/>
  <c r="BJ136" i="20"/>
  <c r="BK136" i="20" s="1"/>
  <c r="BC174" i="20"/>
  <c r="G174" i="20" s="1"/>
  <c r="BB174" i="20"/>
  <c r="BB168" i="20"/>
  <c r="AB168" i="20"/>
  <c r="K49" i="35"/>
  <c r="L49" i="35"/>
  <c r="BC165" i="20"/>
  <c r="G165" i="20" s="1"/>
  <c r="AB155" i="20"/>
  <c r="BB155" i="20"/>
  <c r="BC155" i="20"/>
  <c r="G155" i="20" s="1"/>
  <c r="BB172" i="20"/>
  <c r="AB172" i="20"/>
  <c r="BC172" i="20"/>
  <c r="G172" i="20" s="1"/>
  <c r="BC159" i="20"/>
  <c r="G159" i="20" s="1"/>
  <c r="AB159" i="20"/>
  <c r="BB159" i="20"/>
  <c r="BC169" i="20"/>
  <c r="G169" i="20" s="1"/>
  <c r="BB169" i="20"/>
  <c r="AB169" i="20"/>
  <c r="BN111" i="30"/>
  <c r="BN123" i="30" s="1"/>
  <c r="BN125" i="30" s="1"/>
  <c r="BV111" i="30"/>
  <c r="BV123" i="30" s="1"/>
  <c r="BV125" i="30" s="1"/>
  <c r="BS77" i="30"/>
  <c r="BR82" i="30"/>
  <c r="BR84" i="30" s="1"/>
  <c r="BQ77" i="30"/>
  <c r="AY176" i="30"/>
  <c r="AZ175" i="30"/>
  <c r="BS81" i="30" s="1"/>
  <c r="BJ197" i="26"/>
  <c r="BK196" i="26"/>
  <c r="BX83" i="26" s="1"/>
  <c r="BW84" i="26"/>
  <c r="BW86" i="26" s="1"/>
  <c r="BQ119" i="26"/>
  <c r="CC119" i="26"/>
  <c r="CC125" i="26" s="1"/>
  <c r="CC127" i="26" s="1"/>
  <c r="CA58" i="25"/>
  <c r="CA60" i="25" s="1"/>
  <c r="BU128" i="25"/>
  <c r="BU138" i="25" s="1"/>
  <c r="BU140" i="25" s="1"/>
  <c r="CG128" i="25"/>
  <c r="BK192" i="25"/>
  <c r="CB57" i="25" s="1"/>
  <c r="BJ193" i="25"/>
  <c r="BK193" i="23"/>
  <c r="BL192" i="23"/>
  <c r="CA57" i="23" s="1"/>
  <c r="BZ58" i="23"/>
  <c r="BZ60" i="23" s="1"/>
  <c r="BR90" i="23"/>
  <c r="BR98" i="23" s="1"/>
  <c r="CH90" i="23"/>
  <c r="BO58" i="20" l="1"/>
  <c r="BP58" i="20" s="1"/>
  <c r="K14" i="20"/>
  <c r="K15" i="20" s="1"/>
  <c r="L16" i="20"/>
  <c r="L6" i="20"/>
  <c r="L7" i="20" s="1"/>
  <c r="L8" i="20"/>
  <c r="AB149" i="20"/>
  <c r="J57" i="20"/>
  <c r="BO31" i="20"/>
  <c r="BP31" i="20" s="1"/>
  <c r="L14" i="20"/>
  <c r="J14" i="20"/>
  <c r="BK147" i="20"/>
  <c r="BS29" i="20"/>
  <c r="BO34" i="20"/>
  <c r="BP34" i="20" s="1"/>
  <c r="L126" i="36"/>
  <c r="L132" i="36" s="1"/>
  <c r="BO132" i="36" s="1"/>
  <c r="BM132" i="36" s="1"/>
  <c r="BN132" i="36" s="1"/>
  <c r="BQ35" i="20"/>
  <c r="L57" i="20"/>
  <c r="BK111" i="20"/>
  <c r="L126" i="35"/>
  <c r="L132" i="35" s="1"/>
  <c r="BO130" i="35" s="1"/>
  <c r="D136" i="20"/>
  <c r="D138" i="20"/>
  <c r="H25" i="20"/>
  <c r="H18" i="20"/>
  <c r="D135" i="20"/>
  <c r="D137" i="20"/>
  <c r="BR100" i="23"/>
  <c r="CE110" i="30"/>
  <c r="BS82" i="30"/>
  <c r="BS84" i="30" s="1"/>
  <c r="BU76" i="30"/>
  <c r="BG110" i="30"/>
  <c r="BG123" i="30" s="1"/>
  <c r="BQ76" i="30"/>
  <c r="AZ176" i="30"/>
  <c r="BT81" i="30" s="1"/>
  <c r="AY177" i="30"/>
  <c r="BX84" i="26"/>
  <c r="BX86" i="26" s="1"/>
  <c r="CE118" i="26"/>
  <c r="CE125" i="26" s="1"/>
  <c r="CE127" i="26" s="1"/>
  <c r="BQ118" i="26"/>
  <c r="BK197" i="26"/>
  <c r="BY83" i="26" s="1"/>
  <c r="BJ198" i="26"/>
  <c r="CB58" i="25"/>
  <c r="CB60" i="25" s="1"/>
  <c r="CG127" i="25"/>
  <c r="BW127" i="25"/>
  <c r="BW138" i="25" s="1"/>
  <c r="BW140" i="25" s="1"/>
  <c r="BK193" i="25"/>
  <c r="CC57" i="25" s="1"/>
  <c r="BJ194" i="25"/>
  <c r="CA58" i="23"/>
  <c r="CA60" i="23" s="1"/>
  <c r="BT89" i="23"/>
  <c r="BT98" i="23" s="1"/>
  <c r="BT100" i="23" s="1"/>
  <c r="CH89" i="23"/>
  <c r="BL193" i="23"/>
  <c r="CB57" i="23" s="1"/>
  <c r="BK194" i="23"/>
  <c r="BO35" i="20" l="1"/>
  <c r="BP35" i="20" s="1"/>
  <c r="BM130" i="35"/>
  <c r="BN130" i="35" s="1"/>
  <c r="J6" i="20"/>
  <c r="J7" i="20" s="1"/>
  <c r="J8" i="20"/>
  <c r="L15" i="20"/>
  <c r="K6" i="20"/>
  <c r="K7" i="20" s="1"/>
  <c r="BL111" i="20"/>
  <c r="BM111" i="20" s="1"/>
  <c r="BS59" i="20" s="1"/>
  <c r="BS60" i="20" s="1"/>
  <c r="BS62" i="20" s="1"/>
  <c r="M128" i="20"/>
  <c r="J15" i="20"/>
  <c r="BO28" i="20"/>
  <c r="BP28" i="20" s="1"/>
  <c r="J38" i="20"/>
  <c r="K20" i="20"/>
  <c r="J20" i="20"/>
  <c r="K38" i="20"/>
  <c r="L32" i="20"/>
  <c r="L26" i="20"/>
  <c r="K32" i="20"/>
  <c r="K26" i="20"/>
  <c r="BG125" i="30"/>
  <c r="BI109" i="30"/>
  <c r="BI123" i="30" s="1"/>
  <c r="BI125" i="30" s="1"/>
  <c r="BT82" i="30"/>
  <c r="BT84" i="30" s="1"/>
  <c r="BW75" i="30"/>
  <c r="CE109" i="30"/>
  <c r="BQ75" i="30"/>
  <c r="AY178" i="30"/>
  <c r="AZ177" i="30"/>
  <c r="BU81" i="30" s="1"/>
  <c r="BK198" i="26"/>
  <c r="BZ83" i="26" s="1"/>
  <c r="BJ199" i="26"/>
  <c r="BQ117" i="26"/>
  <c r="BQ125" i="26" s="1"/>
  <c r="CG117" i="26"/>
  <c r="BY84" i="26"/>
  <c r="BY86" i="26" s="1"/>
  <c r="CB53" i="25"/>
  <c r="CC58" i="25"/>
  <c r="CC60" i="25" s="1"/>
  <c r="CG126" i="25"/>
  <c r="CG138" i="25" s="1"/>
  <c r="CG140" i="25" s="1"/>
  <c r="CD53" i="25"/>
  <c r="BY126" i="25"/>
  <c r="BY138" i="25" s="1"/>
  <c r="BY140" i="25" s="1"/>
  <c r="BK194" i="25"/>
  <c r="CD57" i="25" s="1"/>
  <c r="BJ195" i="25"/>
  <c r="CB58" i="23"/>
  <c r="CB60" i="23" s="1"/>
  <c r="BV88" i="23"/>
  <c r="BV98" i="23" s="1"/>
  <c r="BV100" i="23" s="1"/>
  <c r="CH88" i="23"/>
  <c r="BK195" i="23"/>
  <c r="BL194" i="23"/>
  <c r="CC57" i="23" s="1"/>
  <c r="BQ32" i="20" l="1"/>
  <c r="BO32" i="20" s="1"/>
  <c r="BP32" i="20" s="1"/>
  <c r="BL112" i="20"/>
  <c r="BM112" i="20" s="1"/>
  <c r="BT59" i="20" s="1"/>
  <c r="BS100" i="20" s="1"/>
  <c r="L33" i="20"/>
  <c r="BQ29" i="20"/>
  <c r="L27" i="20"/>
  <c r="K39" i="20"/>
  <c r="J21" i="20"/>
  <c r="K27" i="20"/>
  <c r="K21" i="20"/>
  <c r="K33" i="20"/>
  <c r="J39" i="20"/>
  <c r="BQ127" i="26"/>
  <c r="AY179" i="30"/>
  <c r="AZ178" i="30"/>
  <c r="BV81" i="30" s="1"/>
  <c r="BU82" i="30"/>
  <c r="BU84" i="30" s="1"/>
  <c r="CE108" i="30"/>
  <c r="BK108" i="30"/>
  <c r="BK123" i="30" s="1"/>
  <c r="BK125" i="30" s="1"/>
  <c r="BY74" i="30"/>
  <c r="BQ74" i="30"/>
  <c r="BK199" i="26"/>
  <c r="CA83" i="26" s="1"/>
  <c r="BJ200" i="26"/>
  <c r="BZ84" i="26"/>
  <c r="BZ86" i="26" s="1"/>
  <c r="CG116" i="26"/>
  <c r="BS116" i="26"/>
  <c r="BS125" i="26" s="1"/>
  <c r="BS127" i="26" s="1"/>
  <c r="CD58" i="25"/>
  <c r="CD60" i="25" s="1"/>
  <c r="CF52" i="25"/>
  <c r="CP125" i="25"/>
  <c r="BR125" i="25"/>
  <c r="CB52" i="25"/>
  <c r="BK195" i="25"/>
  <c r="CE57" i="25" s="1"/>
  <c r="BJ196" i="25"/>
  <c r="BL195" i="23"/>
  <c r="CD57" i="23" s="1"/>
  <c r="BK196" i="23"/>
  <c r="CC58" i="23"/>
  <c r="CC60" i="23" s="1"/>
  <c r="CH87" i="23"/>
  <c r="BX87" i="23"/>
  <c r="BX98" i="23" s="1"/>
  <c r="BX100" i="23" s="1"/>
  <c r="BO29" i="20" l="1"/>
  <c r="BP29" i="20" s="1"/>
  <c r="BU100" i="20"/>
  <c r="BT60" i="20"/>
  <c r="BT62" i="20" s="1"/>
  <c r="BL113" i="20"/>
  <c r="BL114" i="20" s="1"/>
  <c r="BL115" i="20" s="1"/>
  <c r="I128" i="20"/>
  <c r="K87" i="20"/>
  <c r="J128" i="20"/>
  <c r="M87" i="20"/>
  <c r="BR138" i="25"/>
  <c r="BM107" i="30"/>
  <c r="BM123" i="30" s="1"/>
  <c r="BM125" i="30" s="1"/>
  <c r="CE107" i="30"/>
  <c r="CA73" i="30"/>
  <c r="BV82" i="30"/>
  <c r="BV84" i="30" s="1"/>
  <c r="BQ73" i="30"/>
  <c r="AY180" i="30"/>
  <c r="AZ179" i="30"/>
  <c r="BW81" i="30" s="1"/>
  <c r="BJ201" i="26"/>
  <c r="BK200" i="26"/>
  <c r="CB83" i="26" s="1"/>
  <c r="CA84" i="26"/>
  <c r="CA86" i="26" s="1"/>
  <c r="BU115" i="26"/>
  <c r="BU125" i="26" s="1"/>
  <c r="BU127" i="26" s="1"/>
  <c r="CG115" i="26"/>
  <c r="BK196" i="25"/>
  <c r="CF57" i="25" s="1"/>
  <c r="BJ197" i="25"/>
  <c r="CE58" i="25"/>
  <c r="CE60" i="25" s="1"/>
  <c r="CH51" i="25"/>
  <c r="CB51" i="25"/>
  <c r="CP124" i="25"/>
  <c r="BT124" i="25"/>
  <c r="BT138" i="25" s="1"/>
  <c r="BT140" i="25" s="1"/>
  <c r="BK197" i="23"/>
  <c r="BL196" i="23"/>
  <c r="CE57" i="23" s="1"/>
  <c r="CD58" i="23"/>
  <c r="CD60" i="23" s="1"/>
  <c r="CE53" i="23"/>
  <c r="CC53" i="23"/>
  <c r="BZ86" i="23"/>
  <c r="BZ98" i="23" s="1"/>
  <c r="BZ100" i="23" s="1"/>
  <c r="CH86" i="23"/>
  <c r="CH98" i="23" s="1"/>
  <c r="CH100" i="23" s="1"/>
  <c r="BM114" i="20" l="1"/>
  <c r="BV59" i="20" s="1"/>
  <c r="BV60" i="20" s="1"/>
  <c r="BV62" i="20" s="1"/>
  <c r="BM113" i="20"/>
  <c r="BU59" i="20" s="1"/>
  <c r="BU60" i="20" s="1"/>
  <c r="BU62" i="20" s="1"/>
  <c r="BM115" i="20"/>
  <c r="BW59" i="20" s="1"/>
  <c r="BL116" i="20"/>
  <c r="BR140" i="25"/>
  <c r="AZ180" i="30"/>
  <c r="BX81" i="30" s="1"/>
  <c r="AY181" i="30"/>
  <c r="CE106" i="30"/>
  <c r="BW82" i="30"/>
  <c r="BW84" i="30" s="1"/>
  <c r="CC72" i="30"/>
  <c r="BO106" i="30"/>
  <c r="BO123" i="30" s="1"/>
  <c r="BO125" i="30" s="1"/>
  <c r="BQ72" i="30"/>
  <c r="BK201" i="26"/>
  <c r="CC83" i="26" s="1"/>
  <c r="BJ202" i="26"/>
  <c r="CB84" i="26"/>
  <c r="CB86" i="26" s="1"/>
  <c r="CG114" i="26"/>
  <c r="BW114" i="26"/>
  <c r="BW125" i="26" s="1"/>
  <c r="BW127" i="26" s="1"/>
  <c r="BK197" i="25"/>
  <c r="CG57" i="25" s="1"/>
  <c r="BJ198" i="25"/>
  <c r="CJ50" i="25"/>
  <c r="CB50" i="25"/>
  <c r="CF58" i="25"/>
  <c r="CF60" i="25" s="1"/>
  <c r="CP123" i="25"/>
  <c r="BV123" i="25"/>
  <c r="CG52" i="23"/>
  <c r="CC52" i="23"/>
  <c r="BS85" i="23"/>
  <c r="BS98" i="23" s="1"/>
  <c r="CE58" i="23"/>
  <c r="CE60" i="23" s="1"/>
  <c r="CQ85" i="23"/>
  <c r="BL197" i="23"/>
  <c r="CF57" i="23" s="1"/>
  <c r="BK198" i="23"/>
  <c r="BS98" i="20" l="1"/>
  <c r="BS99" i="20"/>
  <c r="BW99" i="20"/>
  <c r="BY98" i="20"/>
  <c r="BL117" i="20"/>
  <c r="BM116" i="20"/>
  <c r="BX59" i="20" s="1"/>
  <c r="BS97" i="20"/>
  <c r="BW60" i="20"/>
  <c r="BW62" i="20" s="1"/>
  <c r="CA97" i="20"/>
  <c r="BV138" i="25"/>
  <c r="BS100" i="23"/>
  <c r="H42" i="30"/>
  <c r="AY182" i="30"/>
  <c r="AZ181" i="30"/>
  <c r="BY81" i="30" s="1"/>
  <c r="BQ105" i="30"/>
  <c r="CE71" i="30"/>
  <c r="CE105" i="30"/>
  <c r="CE123" i="30" s="1"/>
  <c r="CE125" i="30" s="1"/>
  <c r="BQ71" i="30"/>
  <c r="BX82" i="30"/>
  <c r="BX84" i="30" s="1"/>
  <c r="BK202" i="26"/>
  <c r="CD83" i="26" s="1"/>
  <c r="BJ203" i="26"/>
  <c r="CC84" i="26"/>
  <c r="CC86" i="26" s="1"/>
  <c r="CB79" i="26"/>
  <c r="BY113" i="26"/>
  <c r="BY125" i="26" s="1"/>
  <c r="BY127" i="26" s="1"/>
  <c r="CD79" i="26"/>
  <c r="CG113" i="26"/>
  <c r="CG125" i="26" s="1"/>
  <c r="CG127" i="26" s="1"/>
  <c r="BK198" i="25"/>
  <c r="CH57" i="25" s="1"/>
  <c r="BJ199" i="25"/>
  <c r="CB49" i="25"/>
  <c r="CG58" i="25"/>
  <c r="CG60" i="25" s="1"/>
  <c r="CL49" i="25"/>
  <c r="BX122" i="25"/>
  <c r="BX138" i="25" s="1"/>
  <c r="BX140" i="25" s="1"/>
  <c r="CP122" i="25"/>
  <c r="BK199" i="23"/>
  <c r="BL198" i="23"/>
  <c r="CG57" i="23" s="1"/>
  <c r="CF58" i="23"/>
  <c r="CF60" i="23" s="1"/>
  <c r="CI51" i="23"/>
  <c r="CC51" i="23"/>
  <c r="BU84" i="23"/>
  <c r="BU98" i="23" s="1"/>
  <c r="BU100" i="23" s="1"/>
  <c r="CQ84" i="23"/>
  <c r="CC96" i="20" l="1"/>
  <c r="CC101" i="20" s="1"/>
  <c r="CC103" i="20" s="1"/>
  <c r="BS96" i="20"/>
  <c r="BX60" i="20"/>
  <c r="BX62" i="20" s="1"/>
  <c r="BM117" i="20"/>
  <c r="BY59" i="20" s="1"/>
  <c r="BL118" i="20"/>
  <c r="BV140" i="25"/>
  <c r="K131" i="30"/>
  <c r="BY82" i="30"/>
  <c r="BY84" i="30" s="1"/>
  <c r="CG104" i="30"/>
  <c r="CG123" i="30" s="1"/>
  <c r="CG125" i="30" s="1"/>
  <c r="BQ70" i="30"/>
  <c r="BQ79" i="30" s="1"/>
  <c r="BQ104" i="30"/>
  <c r="CG70" i="30"/>
  <c r="AY183" i="30"/>
  <c r="AZ182" i="30"/>
  <c r="BZ81" i="30" s="1"/>
  <c r="CF78" i="26"/>
  <c r="CB78" i="26"/>
  <c r="CD84" i="26"/>
  <c r="CD86" i="26" s="1"/>
  <c r="CP112" i="26"/>
  <c r="BR112" i="26"/>
  <c r="BR125" i="26" s="1"/>
  <c r="BK203" i="26"/>
  <c r="CE83" i="26" s="1"/>
  <c r="BJ204" i="26"/>
  <c r="BK199" i="25"/>
  <c r="CI57" i="25" s="1"/>
  <c r="BJ200" i="25"/>
  <c r="CH58" i="25"/>
  <c r="CH60" i="25" s="1"/>
  <c r="CN48" i="25"/>
  <c r="CP121" i="25"/>
  <c r="CB48" i="25"/>
  <c r="BZ121" i="25"/>
  <c r="BZ138" i="25" s="1"/>
  <c r="BZ140" i="25" s="1"/>
  <c r="CK50" i="23"/>
  <c r="CC50" i="23"/>
  <c r="CG58" i="23"/>
  <c r="CG60" i="23" s="1"/>
  <c r="CQ83" i="23"/>
  <c r="BW83" i="23"/>
  <c r="BW98" i="23" s="1"/>
  <c r="BL199" i="23"/>
  <c r="CH57" i="23" s="1"/>
  <c r="BK200" i="23"/>
  <c r="BY60" i="20" l="1"/>
  <c r="BY62" i="20" s="1"/>
  <c r="CE95" i="20"/>
  <c r="CE101" i="20" s="1"/>
  <c r="CE103" i="20" s="1"/>
  <c r="BS95" i="20"/>
  <c r="BM118" i="20"/>
  <c r="BZ59" i="20" s="1"/>
  <c r="BL119" i="20"/>
  <c r="H42" i="25"/>
  <c r="H43" i="25" s="1"/>
  <c r="BR127" i="26"/>
  <c r="BW100" i="23"/>
  <c r="BQ103" i="30"/>
  <c r="CI103" i="30"/>
  <c r="CI123" i="30" s="1"/>
  <c r="CI125" i="30" s="1"/>
  <c r="BZ82" i="30"/>
  <c r="BZ84" i="30" s="1"/>
  <c r="CG69" i="30"/>
  <c r="BS69" i="30"/>
  <c r="BS79" i="30" s="1"/>
  <c r="AY184" i="30"/>
  <c r="AZ183" i="30"/>
  <c r="CA81" i="30" s="1"/>
  <c r="CE84" i="26"/>
  <c r="CE86" i="26" s="1"/>
  <c r="CH77" i="26"/>
  <c r="CB77" i="26"/>
  <c r="BT111" i="26"/>
  <c r="BT125" i="26" s="1"/>
  <c r="BT127" i="26" s="1"/>
  <c r="CP111" i="26"/>
  <c r="BJ205" i="26"/>
  <c r="BK204" i="26"/>
  <c r="CF83" i="26" s="1"/>
  <c r="BK200" i="25"/>
  <c r="CJ57" i="25" s="1"/>
  <c r="BJ201" i="25"/>
  <c r="CI58" i="25"/>
  <c r="CI60" i="25" s="1"/>
  <c r="CP47" i="25"/>
  <c r="CB47" i="25"/>
  <c r="CP120" i="25"/>
  <c r="CP138" i="25" s="1"/>
  <c r="CP140" i="25" s="1"/>
  <c r="CB120" i="25"/>
  <c r="CC49" i="23"/>
  <c r="CH58" i="23"/>
  <c r="CH60" i="23" s="1"/>
  <c r="CM49" i="23"/>
  <c r="BY82" i="23"/>
  <c r="BY98" i="23" s="1"/>
  <c r="BY100" i="23" s="1"/>
  <c r="CQ82" i="23"/>
  <c r="BK201" i="23"/>
  <c r="BL200" i="23"/>
  <c r="CI57" i="23" s="1"/>
  <c r="BZ60" i="20" l="1"/>
  <c r="BZ62" i="20" s="1"/>
  <c r="BS94" i="20"/>
  <c r="CG94" i="20"/>
  <c r="CG101" i="20" s="1"/>
  <c r="CG103" i="20" s="1"/>
  <c r="BM119" i="20"/>
  <c r="CA59" i="20" s="1"/>
  <c r="BL120" i="20"/>
  <c r="K131" i="25"/>
  <c r="J42" i="25"/>
  <c r="K42" i="25"/>
  <c r="CK102" i="30"/>
  <c r="CK123" i="30" s="1"/>
  <c r="CK125" i="30" s="1"/>
  <c r="CA82" i="30"/>
  <c r="CA84" i="30" s="1"/>
  <c r="CG68" i="30"/>
  <c r="BQ102" i="30"/>
  <c r="BU68" i="30"/>
  <c r="BU79" i="30" s="1"/>
  <c r="AZ184" i="30"/>
  <c r="CB81" i="30" s="1"/>
  <c r="AY185" i="30"/>
  <c r="CR119" i="25"/>
  <c r="CR138" i="25" s="1"/>
  <c r="CR140" i="25" s="1"/>
  <c r="CB119" i="25"/>
  <c r="BK205" i="26"/>
  <c r="CG83" i="26" s="1"/>
  <c r="BJ206" i="26"/>
  <c r="CB76" i="26"/>
  <c r="CF84" i="26"/>
  <c r="CF86" i="26" s="1"/>
  <c r="CJ76" i="26"/>
  <c r="CP110" i="26"/>
  <c r="BV110" i="26"/>
  <c r="BV125" i="26" s="1"/>
  <c r="BK201" i="25"/>
  <c r="CK57" i="25" s="1"/>
  <c r="BJ202" i="25"/>
  <c r="CJ58" i="25"/>
  <c r="CJ60" i="25" s="1"/>
  <c r="CR46" i="25"/>
  <c r="CB46" i="25"/>
  <c r="CB55" i="25" s="1"/>
  <c r="CI58" i="23"/>
  <c r="CI60" i="23" s="1"/>
  <c r="CO48" i="23"/>
  <c r="CA81" i="23"/>
  <c r="CA98" i="23" s="1"/>
  <c r="CC48" i="23"/>
  <c r="CQ81" i="23"/>
  <c r="BL201" i="23"/>
  <c r="CJ57" i="23" s="1"/>
  <c r="BK202" i="23"/>
  <c r="BS93" i="20" l="1"/>
  <c r="BS101" i="20" s="1"/>
  <c r="BS103" i="20" s="1"/>
  <c r="CI93" i="20"/>
  <c r="CA60" i="20"/>
  <c r="CA62" i="20" s="1"/>
  <c r="BL121" i="20"/>
  <c r="BM120" i="20"/>
  <c r="CB59" i="20" s="1"/>
  <c r="J43" i="25"/>
  <c r="K43" i="25"/>
  <c r="BV127" i="26"/>
  <c r="CA100" i="23"/>
  <c r="H42" i="23"/>
  <c r="H43" i="23" s="1"/>
  <c r="J42" i="23" s="1"/>
  <c r="AY186" i="30"/>
  <c r="AZ185" i="30"/>
  <c r="CC81" i="30" s="1"/>
  <c r="BQ101" i="30"/>
  <c r="CG67" i="30"/>
  <c r="CM101" i="30"/>
  <c r="CM123" i="30" s="1"/>
  <c r="CM125" i="30" s="1"/>
  <c r="CB82" i="30"/>
  <c r="CB84" i="30" s="1"/>
  <c r="BW67" i="30"/>
  <c r="BW79" i="30" s="1"/>
  <c r="BK206" i="26"/>
  <c r="CH83" i="26" s="1"/>
  <c r="BJ207" i="26"/>
  <c r="CG84" i="26"/>
  <c r="CG86" i="26" s="1"/>
  <c r="CB75" i="26"/>
  <c r="CL75" i="26"/>
  <c r="BX109" i="26"/>
  <c r="BX125" i="26" s="1"/>
  <c r="BX127" i="26" s="1"/>
  <c r="CP109" i="26"/>
  <c r="BK202" i="25"/>
  <c r="CL57" i="25" s="1"/>
  <c r="BJ203" i="25"/>
  <c r="CD45" i="25"/>
  <c r="CD55" i="25" s="1"/>
  <c r="CR45" i="25"/>
  <c r="CK58" i="25"/>
  <c r="CK60" i="25" s="1"/>
  <c r="CB118" i="25"/>
  <c r="CT118" i="25"/>
  <c r="CT138" i="25" s="1"/>
  <c r="CT140" i="25" s="1"/>
  <c r="BK203" i="23"/>
  <c r="BL202" i="23"/>
  <c r="CK57" i="23" s="1"/>
  <c r="CJ58" i="23"/>
  <c r="CJ60" i="23" s="1"/>
  <c r="CC47" i="23"/>
  <c r="CQ47" i="23"/>
  <c r="CC80" i="23"/>
  <c r="CQ80" i="23"/>
  <c r="CQ98" i="23" s="1"/>
  <c r="CQ100" i="23" s="1"/>
  <c r="BL122" i="20" l="1"/>
  <c r="BM121" i="20"/>
  <c r="CC59" i="20" s="1"/>
  <c r="BU92" i="20"/>
  <c r="BU101" i="20" s="1"/>
  <c r="BU103" i="20" s="1"/>
  <c r="CI92" i="20"/>
  <c r="CB60" i="20"/>
  <c r="CB62" i="20" s="1"/>
  <c r="K126" i="25"/>
  <c r="K132" i="25" s="1"/>
  <c r="K131" i="23"/>
  <c r="K42" i="23"/>
  <c r="K43" i="23" s="1"/>
  <c r="J43" i="23"/>
  <c r="CC82" i="30"/>
  <c r="CC84" i="30" s="1"/>
  <c r="CO100" i="30"/>
  <c r="CO123" i="30" s="1"/>
  <c r="CO125" i="30" s="1"/>
  <c r="BQ100" i="30"/>
  <c r="BQ123" i="30" s="1"/>
  <c r="J131" i="30" s="1"/>
  <c r="J132" i="30" s="1"/>
  <c r="CG66" i="30"/>
  <c r="BY66" i="30"/>
  <c r="BY79" i="30" s="1"/>
  <c r="AY187" i="30"/>
  <c r="AZ186" i="30"/>
  <c r="CD81" i="30" s="1"/>
  <c r="CC79" i="23"/>
  <c r="CS79" i="23"/>
  <c r="CS98" i="23" s="1"/>
  <c r="CS100" i="23" s="1"/>
  <c r="BK207" i="26"/>
  <c r="CI83" i="26" s="1"/>
  <c r="BJ208" i="26"/>
  <c r="CN74" i="26"/>
  <c r="CH84" i="26"/>
  <c r="CH86" i="26" s="1"/>
  <c r="CB74" i="26"/>
  <c r="CP108" i="26"/>
  <c r="BZ108" i="26"/>
  <c r="BZ125" i="26" s="1"/>
  <c r="BK203" i="25"/>
  <c r="CM57" i="25" s="1"/>
  <c r="BJ204" i="25"/>
  <c r="CL58" i="25"/>
  <c r="CL60" i="25" s="1"/>
  <c r="CR44" i="25"/>
  <c r="CV117" i="25"/>
  <c r="CV138" i="25" s="1"/>
  <c r="CV140" i="25" s="1"/>
  <c r="CB117" i="25"/>
  <c r="CF44" i="25"/>
  <c r="CF55" i="25" s="1"/>
  <c r="CS46" i="23"/>
  <c r="CC46" i="23"/>
  <c r="CC55" i="23" s="1"/>
  <c r="CK58" i="23"/>
  <c r="CK60" i="23" s="1"/>
  <c r="BL203" i="23"/>
  <c r="CL57" i="23" s="1"/>
  <c r="BK204" i="23"/>
  <c r="CI91" i="20" l="1"/>
  <c r="BW91" i="20"/>
  <c r="BW101" i="20" s="1"/>
  <c r="BW103" i="20" s="1"/>
  <c r="CC60" i="20"/>
  <c r="CC62" i="20" s="1"/>
  <c r="BL123" i="20"/>
  <c r="BM122" i="20"/>
  <c r="CD59" i="20" s="1"/>
  <c r="BZ127" i="26"/>
  <c r="H42" i="26"/>
  <c r="H43" i="26" s="1"/>
  <c r="K126" i="23"/>
  <c r="K132" i="23" s="1"/>
  <c r="BQ125" i="30"/>
  <c r="H43" i="30"/>
  <c r="BZ99" i="30"/>
  <c r="CH99" i="30"/>
  <c r="CG65" i="30"/>
  <c r="CA65" i="30"/>
  <c r="CA79" i="30" s="1"/>
  <c r="CD82" i="30"/>
  <c r="CD84" i="30" s="1"/>
  <c r="AY188" i="30"/>
  <c r="AZ187" i="30"/>
  <c r="CE81" i="30" s="1"/>
  <c r="BJ209" i="26"/>
  <c r="BK208" i="26"/>
  <c r="CJ83" i="26" s="1"/>
  <c r="CI84" i="26"/>
  <c r="CI86" i="26" s="1"/>
  <c r="CB73" i="26"/>
  <c r="CB107" i="26"/>
  <c r="CP73" i="26"/>
  <c r="CP107" i="26"/>
  <c r="CP125" i="26" s="1"/>
  <c r="CP127" i="26" s="1"/>
  <c r="BK204" i="25"/>
  <c r="CN57" i="25" s="1"/>
  <c r="BJ205" i="25"/>
  <c r="CM58" i="25"/>
  <c r="CM60" i="25" s="1"/>
  <c r="CH43" i="25"/>
  <c r="CH55" i="25" s="1"/>
  <c r="CX116" i="25"/>
  <c r="CX138" i="25" s="1"/>
  <c r="CX140" i="25" s="1"/>
  <c r="CR43" i="25"/>
  <c r="CB116" i="25"/>
  <c r="CL58" i="23"/>
  <c r="CL60" i="23" s="1"/>
  <c r="CE45" i="23"/>
  <c r="CE55" i="23" s="1"/>
  <c r="CC78" i="23"/>
  <c r="CU78" i="23"/>
  <c r="CU98" i="23" s="1"/>
  <c r="CU100" i="23" s="1"/>
  <c r="CS45" i="23"/>
  <c r="BK205" i="23"/>
  <c r="BL204" i="23"/>
  <c r="CM57" i="23" s="1"/>
  <c r="BM123" i="20" l="1"/>
  <c r="CE59" i="20" s="1"/>
  <c r="BL124" i="20"/>
  <c r="CI90" i="20"/>
  <c r="BY90" i="20"/>
  <c r="BY101" i="20" s="1"/>
  <c r="BY103" i="20" s="1"/>
  <c r="CD60" i="20"/>
  <c r="CD62" i="20" s="1"/>
  <c r="K131" i="26"/>
  <c r="J42" i="26"/>
  <c r="K42" i="26"/>
  <c r="M131" i="30"/>
  <c r="J42" i="30"/>
  <c r="K42" i="30"/>
  <c r="CJ98" i="30"/>
  <c r="CE82" i="30"/>
  <c r="CE84" i="30" s="1"/>
  <c r="CG64" i="30"/>
  <c r="BZ98" i="30"/>
  <c r="CC64" i="30"/>
  <c r="CC79" i="30" s="1"/>
  <c r="AZ188" i="30"/>
  <c r="CF81" i="30" s="1"/>
  <c r="AY189" i="30"/>
  <c r="CR106" i="26"/>
  <c r="CR125" i="26" s="1"/>
  <c r="CR127" i="26" s="1"/>
  <c r="CB106" i="26"/>
  <c r="CR72" i="26"/>
  <c r="CJ84" i="26"/>
  <c r="CJ86" i="26" s="1"/>
  <c r="CB72" i="26"/>
  <c r="CB81" i="26" s="1"/>
  <c r="BK209" i="26"/>
  <c r="CK83" i="26" s="1"/>
  <c r="BJ210" i="26"/>
  <c r="BK205" i="25"/>
  <c r="CO57" i="25" s="1"/>
  <c r="BJ206" i="25"/>
  <c r="CN58" i="25"/>
  <c r="CN60" i="25" s="1"/>
  <c r="CR42" i="25"/>
  <c r="CZ115" i="25"/>
  <c r="CZ138" i="25" s="1"/>
  <c r="CZ140" i="25" s="1"/>
  <c r="CJ42" i="25"/>
  <c r="CJ55" i="25" s="1"/>
  <c r="CB115" i="25"/>
  <c r="CB138" i="25" s="1"/>
  <c r="CM58" i="23"/>
  <c r="CM60" i="23" s="1"/>
  <c r="CS44" i="23"/>
  <c r="CG44" i="23"/>
  <c r="CG55" i="23" s="1"/>
  <c r="CC77" i="23"/>
  <c r="CW77" i="23"/>
  <c r="CW98" i="23" s="1"/>
  <c r="CW100" i="23" s="1"/>
  <c r="BL205" i="23"/>
  <c r="CN57" i="23" s="1"/>
  <c r="BK206" i="23"/>
  <c r="CI89" i="20" l="1"/>
  <c r="CI101" i="20" s="1"/>
  <c r="CI103" i="20" s="1"/>
  <c r="CA89" i="20"/>
  <c r="CA101" i="20" s="1"/>
  <c r="CA103" i="20" s="1"/>
  <c r="CD55" i="20"/>
  <c r="CE60" i="20"/>
  <c r="CE62" i="20" s="1"/>
  <c r="CF55" i="20"/>
  <c r="BL125" i="20"/>
  <c r="BM124" i="20"/>
  <c r="CF59" i="20" s="1"/>
  <c r="CB140" i="25"/>
  <c r="J131" i="25"/>
  <c r="J132" i="25" s="1"/>
  <c r="K43" i="26"/>
  <c r="J43" i="26"/>
  <c r="K43" i="30"/>
  <c r="J43" i="30"/>
  <c r="BZ97" i="30"/>
  <c r="CL97" i="30"/>
  <c r="CF82" i="30"/>
  <c r="CF84" i="30" s="1"/>
  <c r="CG63" i="30"/>
  <c r="CG79" i="30" s="1"/>
  <c r="CE63" i="30"/>
  <c r="CE79" i="30" s="1"/>
  <c r="AY190" i="30"/>
  <c r="AZ189" i="30"/>
  <c r="CG81" i="30" s="1"/>
  <c r="CK84" i="26"/>
  <c r="CK86" i="26" s="1"/>
  <c r="CD71" i="26"/>
  <c r="CD81" i="26" s="1"/>
  <c r="CB105" i="26"/>
  <c r="CR71" i="26"/>
  <c r="CT105" i="26"/>
  <c r="CT125" i="26" s="1"/>
  <c r="CT127" i="26" s="1"/>
  <c r="BK210" i="26"/>
  <c r="CL83" i="26" s="1"/>
  <c r="BJ211" i="26"/>
  <c r="BK206" i="25"/>
  <c r="CP57" i="25" s="1"/>
  <c r="BJ207" i="25"/>
  <c r="CO58" i="25"/>
  <c r="CO60" i="25" s="1"/>
  <c r="CL41" i="25"/>
  <c r="CL55" i="25" s="1"/>
  <c r="CR41" i="25"/>
  <c r="CS114" i="25"/>
  <c r="CK114" i="25"/>
  <c r="CN58" i="23"/>
  <c r="CN60" i="23" s="1"/>
  <c r="CI43" i="23"/>
  <c r="CI55" i="23" s="1"/>
  <c r="CC76" i="23"/>
  <c r="CS43" i="23"/>
  <c r="CY76" i="23"/>
  <c r="CY98" i="23" s="1"/>
  <c r="CY100" i="23" s="1"/>
  <c r="BK207" i="23"/>
  <c r="BL206" i="23"/>
  <c r="CO57" i="23" s="1"/>
  <c r="BT88" i="20" l="1"/>
  <c r="BT101" i="20" s="1"/>
  <c r="BT103" i="20" s="1"/>
  <c r="CR88" i="20"/>
  <c r="CH54" i="20"/>
  <c r="CD54" i="20"/>
  <c r="CF60" i="20"/>
  <c r="CF62" i="20" s="1"/>
  <c r="BM125" i="20"/>
  <c r="CG59" i="20" s="1"/>
  <c r="BL126" i="20"/>
  <c r="M131" i="25"/>
  <c r="M132" i="25" s="1"/>
  <c r="K126" i="26"/>
  <c r="K132" i="26" s="1"/>
  <c r="K126" i="30"/>
  <c r="CG82" i="30"/>
  <c r="CG84" i="30" s="1"/>
  <c r="CN96" i="30"/>
  <c r="BZ96" i="30"/>
  <c r="AY191" i="30"/>
  <c r="AZ190" i="30"/>
  <c r="CH81" i="30" s="1"/>
  <c r="CL84" i="26"/>
  <c r="CL86" i="26" s="1"/>
  <c r="CR70" i="26"/>
  <c r="CF70" i="26"/>
  <c r="CF81" i="26" s="1"/>
  <c r="CV104" i="26"/>
  <c r="CV125" i="26" s="1"/>
  <c r="CV127" i="26" s="1"/>
  <c r="CB104" i="26"/>
  <c r="BK211" i="26"/>
  <c r="CM83" i="26" s="1"/>
  <c r="BJ212" i="26"/>
  <c r="BK207" i="25"/>
  <c r="CQ57" i="25" s="1"/>
  <c r="BJ208" i="25"/>
  <c r="CP58" i="25"/>
  <c r="CP60" i="25" s="1"/>
  <c r="CU113" i="25"/>
  <c r="CK113" i="25"/>
  <c r="CN40" i="25"/>
  <c r="CN55" i="25" s="1"/>
  <c r="CR40" i="25"/>
  <c r="CO58" i="23"/>
  <c r="CO60" i="23" s="1"/>
  <c r="DA75" i="23"/>
  <c r="DA98" i="23" s="1"/>
  <c r="DA100" i="23" s="1"/>
  <c r="CC75" i="23"/>
  <c r="CC98" i="23" s="1"/>
  <c r="CS42" i="23"/>
  <c r="CK42" i="23"/>
  <c r="CK55" i="23" s="1"/>
  <c r="BL207" i="23"/>
  <c r="CP57" i="23" s="1"/>
  <c r="BK208" i="23"/>
  <c r="BM126" i="20" l="1"/>
  <c r="CH59" i="20" s="1"/>
  <c r="BL127" i="20"/>
  <c r="CD53" i="20"/>
  <c r="CG60" i="20"/>
  <c r="CG62" i="20" s="1"/>
  <c r="CJ53" i="20"/>
  <c r="BV87" i="20"/>
  <c r="BV101" i="20" s="1"/>
  <c r="BV103" i="20" s="1"/>
  <c r="CR87" i="20"/>
  <c r="CC100" i="23"/>
  <c r="M131" i="23" s="1"/>
  <c r="M132" i="23" s="1"/>
  <c r="J131" i="23"/>
  <c r="J132" i="23" s="1"/>
  <c r="AY192" i="30"/>
  <c r="AZ191" i="30"/>
  <c r="CI81" i="30" s="1"/>
  <c r="BZ95" i="30"/>
  <c r="BZ123" i="30" s="1"/>
  <c r="CP95" i="30"/>
  <c r="CH82" i="30"/>
  <c r="CH84" i="30" s="1"/>
  <c r="CM84" i="26"/>
  <c r="CM86" i="26" s="1"/>
  <c r="CH69" i="26"/>
  <c r="CH81" i="26" s="1"/>
  <c r="CB103" i="26"/>
  <c r="CX103" i="26"/>
  <c r="CX125" i="26" s="1"/>
  <c r="CX127" i="26" s="1"/>
  <c r="CR69" i="26"/>
  <c r="BJ213" i="26"/>
  <c r="BK212" i="26"/>
  <c r="CN83" i="26" s="1"/>
  <c r="BK208" i="25"/>
  <c r="CR57" i="25" s="1"/>
  <c r="BJ209" i="25"/>
  <c r="CR39" i="25"/>
  <c r="CR55" i="25" s="1"/>
  <c r="CP39" i="25"/>
  <c r="CP55" i="25" s="1"/>
  <c r="CQ58" i="25"/>
  <c r="CQ60" i="25" s="1"/>
  <c r="CK112" i="25"/>
  <c r="CW112" i="25"/>
  <c r="BK209" i="23"/>
  <c r="BL208" i="23"/>
  <c r="CQ57" i="23" s="1"/>
  <c r="CM41" i="23"/>
  <c r="CM55" i="23" s="1"/>
  <c r="CP58" i="23"/>
  <c r="CP60" i="23" s="1"/>
  <c r="CS41" i="23"/>
  <c r="CL74" i="23"/>
  <c r="CT74" i="23"/>
  <c r="BM127" i="20" l="1"/>
  <c r="CI59" i="20" s="1"/>
  <c r="BL128" i="20"/>
  <c r="CR86" i="20"/>
  <c r="CH60" i="20"/>
  <c r="CH62" i="20" s="1"/>
  <c r="CL52" i="20"/>
  <c r="BX86" i="20"/>
  <c r="BX101" i="20" s="1"/>
  <c r="BX103" i="20" s="1"/>
  <c r="CD52" i="20"/>
  <c r="BZ125" i="30"/>
  <c r="CP94" i="30"/>
  <c r="CB94" i="30"/>
  <c r="CB123" i="30" s="1"/>
  <c r="CB125" i="30" s="1"/>
  <c r="CI82" i="30"/>
  <c r="CI84" i="30" s="1"/>
  <c r="AZ192" i="30"/>
  <c r="CJ81" i="30" s="1"/>
  <c r="AY193" i="30"/>
  <c r="BK213" i="26"/>
  <c r="CO83" i="26" s="1"/>
  <c r="BJ214" i="26"/>
  <c r="CN84" i="26"/>
  <c r="CN86" i="26" s="1"/>
  <c r="CR68" i="26"/>
  <c r="CJ68" i="26"/>
  <c r="CJ81" i="26" s="1"/>
  <c r="CZ102" i="26"/>
  <c r="CZ125" i="26" s="1"/>
  <c r="CZ127" i="26" s="1"/>
  <c r="CB102" i="26"/>
  <c r="CB125" i="26" s="1"/>
  <c r="BK209" i="25"/>
  <c r="CS57" i="25" s="1"/>
  <c r="BJ210" i="25"/>
  <c r="CR58" i="25"/>
  <c r="CR60" i="25" s="1"/>
  <c r="CY111" i="25"/>
  <c r="CK111" i="25"/>
  <c r="CQ58" i="23"/>
  <c r="CQ60" i="23" s="1"/>
  <c r="CO40" i="23"/>
  <c r="CO55" i="23" s="1"/>
  <c r="CS40" i="23"/>
  <c r="CV73" i="23"/>
  <c r="CL73" i="23"/>
  <c r="BL209" i="23"/>
  <c r="CR57" i="23" s="1"/>
  <c r="BK210" i="23"/>
  <c r="BZ85" i="20" l="1"/>
  <c r="BZ101" i="20" s="1"/>
  <c r="BZ103" i="20" s="1"/>
  <c r="CI60" i="20"/>
  <c r="CI62" i="20" s="1"/>
  <c r="CR85" i="20"/>
  <c r="CD51" i="20"/>
  <c r="CN51" i="20"/>
  <c r="BM128" i="20"/>
  <c r="CJ59" i="20" s="1"/>
  <c r="BL129" i="20"/>
  <c r="CB127" i="26"/>
  <c r="J131" i="26"/>
  <c r="J132" i="26" s="1"/>
  <c r="CD93" i="30"/>
  <c r="CD123" i="30" s="1"/>
  <c r="CD125" i="30" s="1"/>
  <c r="CJ82" i="30"/>
  <c r="CJ84" i="30" s="1"/>
  <c r="CP93" i="30"/>
  <c r="AY194" i="30"/>
  <c r="AZ193" i="30"/>
  <c r="CK81" i="30" s="1"/>
  <c r="BK214" i="26"/>
  <c r="CP83" i="26" s="1"/>
  <c r="BJ215" i="26"/>
  <c r="CL67" i="26"/>
  <c r="CL81" i="26" s="1"/>
  <c r="CK101" i="26"/>
  <c r="CO84" i="26"/>
  <c r="CO86" i="26" s="1"/>
  <c r="CR67" i="26"/>
  <c r="CS101" i="26"/>
  <c r="BK210" i="25"/>
  <c r="CT57" i="25" s="1"/>
  <c r="BJ211" i="25"/>
  <c r="CS58" i="25"/>
  <c r="CS60" i="25" s="1"/>
  <c r="DA110" i="25"/>
  <c r="CK110" i="25"/>
  <c r="CK138" i="25" s="1"/>
  <c r="BK211" i="23"/>
  <c r="BL210" i="23"/>
  <c r="CS57" i="23" s="1"/>
  <c r="CR58" i="23"/>
  <c r="CR60" i="23" s="1"/>
  <c r="CS39" i="23"/>
  <c r="CS55" i="23" s="1"/>
  <c r="CQ39" i="23"/>
  <c r="CQ55" i="23" s="1"/>
  <c r="CL72" i="23"/>
  <c r="CX72" i="23"/>
  <c r="BM129" i="20" l="1"/>
  <c r="CK59" i="20" s="1"/>
  <c r="BL130" i="20"/>
  <c r="CD50" i="20"/>
  <c r="CP50" i="20"/>
  <c r="CJ60" i="20"/>
  <c r="CJ62" i="20" s="1"/>
  <c r="CB84" i="20"/>
  <c r="CB101" i="20" s="1"/>
  <c r="CB103" i="20" s="1"/>
  <c r="CR84" i="20"/>
  <c r="CK140" i="25"/>
  <c r="M131" i="26"/>
  <c r="M132" i="26" s="1"/>
  <c r="AY195" i="30"/>
  <c r="AZ194" i="30"/>
  <c r="CL81" i="30" s="1"/>
  <c r="CK82" i="30"/>
  <c r="CK84" i="30" s="1"/>
  <c r="CP92" i="30"/>
  <c r="CF92" i="30"/>
  <c r="CF123" i="30" s="1"/>
  <c r="CF125" i="30" s="1"/>
  <c r="BK215" i="26"/>
  <c r="CQ83" i="26" s="1"/>
  <c r="BJ216" i="26"/>
  <c r="CP84" i="26"/>
  <c r="CP86" i="26" s="1"/>
  <c r="CR66" i="26"/>
  <c r="CN66" i="26"/>
  <c r="CN81" i="26" s="1"/>
  <c r="CU100" i="26"/>
  <c r="CK100" i="26"/>
  <c r="BK211" i="25"/>
  <c r="CU57" i="25" s="1"/>
  <c r="BJ212" i="25"/>
  <c r="CT58" i="25"/>
  <c r="CT60" i="25" s="1"/>
  <c r="DA109" i="25"/>
  <c r="CM109" i="25"/>
  <c r="CM138" i="25" s="1"/>
  <c r="CM140" i="25" s="1"/>
  <c r="CS58" i="23"/>
  <c r="CS60" i="23" s="1"/>
  <c r="CZ71" i="23"/>
  <c r="CL71" i="23"/>
  <c r="BL211" i="23"/>
  <c r="CT57" i="23" s="1"/>
  <c r="BK212" i="23"/>
  <c r="BL131" i="20" l="1"/>
  <c r="BM130" i="20"/>
  <c r="CL59" i="20" s="1"/>
  <c r="CK60" i="20"/>
  <c r="CK62" i="20" s="1"/>
  <c r="CR49" i="20"/>
  <c r="CR83" i="20"/>
  <c r="CR101" i="20" s="1"/>
  <c r="CR103" i="20" s="1"/>
  <c r="K133" i="20" s="1"/>
  <c r="CD49" i="20"/>
  <c r="CD83" i="20"/>
  <c r="H44" i="20"/>
  <c r="H45" i="20" s="1"/>
  <c r="M132" i="30"/>
  <c r="K132" i="30"/>
  <c r="CH91" i="30"/>
  <c r="CH123" i="30" s="1"/>
  <c r="CH125" i="30" s="1"/>
  <c r="CP91" i="30"/>
  <c r="CL82" i="30"/>
  <c r="CL84" i="30" s="1"/>
  <c r="AY196" i="30"/>
  <c r="AZ195" i="30"/>
  <c r="CM81" i="30" s="1"/>
  <c r="BJ217" i="26"/>
  <c r="BK216" i="26"/>
  <c r="CR83" i="26" s="1"/>
  <c r="CQ84" i="26"/>
  <c r="CQ86" i="26" s="1"/>
  <c r="CR65" i="26"/>
  <c r="CR81" i="26" s="1"/>
  <c r="CK99" i="26"/>
  <c r="CW99" i="26"/>
  <c r="CP65" i="26"/>
  <c r="CP81" i="26" s="1"/>
  <c r="BK212" i="25"/>
  <c r="CV57" i="25" s="1"/>
  <c r="BJ213" i="25"/>
  <c r="CU58" i="25"/>
  <c r="CU60" i="25" s="1"/>
  <c r="DA108" i="25"/>
  <c r="CO108" i="25"/>
  <c r="CO138" i="25" s="1"/>
  <c r="CT58" i="23"/>
  <c r="CT60" i="23" s="1"/>
  <c r="CL70" i="23"/>
  <c r="CL98" i="23" s="1"/>
  <c r="DB70" i="23"/>
  <c r="BK213" i="23"/>
  <c r="BL212" i="23"/>
  <c r="CU57" i="23" s="1"/>
  <c r="BL132" i="20" l="1"/>
  <c r="BM131" i="20"/>
  <c r="CM59" i="20" s="1"/>
  <c r="CD82" i="20"/>
  <c r="CT48" i="20"/>
  <c r="CD48" i="20"/>
  <c r="CD57" i="20" s="1"/>
  <c r="CL60" i="20"/>
  <c r="CL62" i="20" s="1"/>
  <c r="CT82" i="20"/>
  <c r="CT101" i="20" s="1"/>
  <c r="CT103" i="20" s="1"/>
  <c r="J44" i="20"/>
  <c r="K44" i="20"/>
  <c r="CO140" i="25"/>
  <c r="CL100" i="23"/>
  <c r="AZ196" i="30"/>
  <c r="CN81" i="30" s="1"/>
  <c r="AY197" i="30"/>
  <c r="CP90" i="30"/>
  <c r="CM82" i="30"/>
  <c r="CM84" i="30" s="1"/>
  <c r="CJ90" i="30"/>
  <c r="CJ123" i="30" s="1"/>
  <c r="CJ125" i="30" s="1"/>
  <c r="BK217" i="26"/>
  <c r="CS83" i="26" s="1"/>
  <c r="BJ218" i="26"/>
  <c r="CR84" i="26"/>
  <c r="CR86" i="26" s="1"/>
  <c r="CY98" i="26"/>
  <c r="CK98" i="26"/>
  <c r="BK213" i="25"/>
  <c r="CW57" i="25" s="1"/>
  <c r="BJ214" i="25"/>
  <c r="DA107" i="25"/>
  <c r="CV58" i="25"/>
  <c r="CV60" i="25" s="1"/>
  <c r="CQ107" i="25"/>
  <c r="CQ138" i="25" s="1"/>
  <c r="BL213" i="23"/>
  <c r="CV57" i="23" s="1"/>
  <c r="BK214" i="23"/>
  <c r="CU58" i="23"/>
  <c r="CU60" i="23" s="1"/>
  <c r="CN69" i="23"/>
  <c r="CN98" i="23" s="1"/>
  <c r="CN100" i="23" s="1"/>
  <c r="DB69" i="23"/>
  <c r="J45" i="20" l="1"/>
  <c r="CV81" i="20"/>
  <c r="CV101" i="20" s="1"/>
  <c r="CV103" i="20" s="1"/>
  <c r="CM60" i="20"/>
  <c r="CM62" i="20" s="1"/>
  <c r="CF47" i="20"/>
  <c r="CF57" i="20" s="1"/>
  <c r="CD81" i="20"/>
  <c r="CT47" i="20"/>
  <c r="K45" i="20"/>
  <c r="BL133" i="20"/>
  <c r="BM132" i="20"/>
  <c r="CN59" i="20" s="1"/>
  <c r="CQ140" i="25"/>
  <c r="AY198" i="30"/>
  <c r="AZ198" i="30" s="1"/>
  <c r="CP81" i="30" s="1"/>
  <c r="CP82" i="30" s="1"/>
  <c r="CP84" i="30" s="1"/>
  <c r="AZ197" i="30"/>
  <c r="CO81" i="30" s="1"/>
  <c r="CL89" i="30"/>
  <c r="CL123" i="30" s="1"/>
  <c r="CL125" i="30" s="1"/>
  <c r="CP89" i="30"/>
  <c r="CN82" i="30"/>
  <c r="CN84" i="30" s="1"/>
  <c r="BK218" i="26"/>
  <c r="CT83" i="26" s="1"/>
  <c r="BJ219" i="26"/>
  <c r="CS84" i="26"/>
  <c r="CS86" i="26" s="1"/>
  <c r="CK97" i="26"/>
  <c r="CK125" i="26" s="1"/>
  <c r="DA97" i="26"/>
  <c r="BK214" i="25"/>
  <c r="CX57" i="25" s="1"/>
  <c r="BJ215" i="25"/>
  <c r="CW58" i="25"/>
  <c r="CW60" i="25" s="1"/>
  <c r="CS106" i="25"/>
  <c r="CS138" i="25" s="1"/>
  <c r="CS140" i="25" s="1"/>
  <c r="DA106" i="25"/>
  <c r="BK215" i="23"/>
  <c r="BL214" i="23"/>
  <c r="CW57" i="23" s="1"/>
  <c r="CV58" i="23"/>
  <c r="CV60" i="23" s="1"/>
  <c r="CP68" i="23"/>
  <c r="CP98" i="23" s="1"/>
  <c r="CP100" i="23" s="1"/>
  <c r="DB68" i="23"/>
  <c r="K128" i="20" l="1"/>
  <c r="K134" i="20" s="1"/>
  <c r="BM133" i="20"/>
  <c r="CO59" i="20" s="1"/>
  <c r="BL134" i="20"/>
  <c r="CT46" i="20"/>
  <c r="CN60" i="20"/>
  <c r="CN62" i="20" s="1"/>
  <c r="CD80" i="20"/>
  <c r="CX80" i="20"/>
  <c r="CX101" i="20" s="1"/>
  <c r="CX103" i="20" s="1"/>
  <c r="CH46" i="20"/>
  <c r="CH57" i="20" s="1"/>
  <c r="CK127" i="26"/>
  <c r="CO82" i="30"/>
  <c r="CO84" i="30" s="1"/>
  <c r="BD85" i="30" s="1"/>
  <c r="BB85" i="30" s="1"/>
  <c r="BC85" i="30" s="1"/>
  <c r="CP88" i="30"/>
  <c r="CP123" i="30" s="1"/>
  <c r="CN88" i="30"/>
  <c r="CN123" i="30" s="1"/>
  <c r="CN125" i="30" s="1"/>
  <c r="BK219" i="26"/>
  <c r="CU83" i="26" s="1"/>
  <c r="BJ220" i="26"/>
  <c r="DA96" i="26"/>
  <c r="CT84" i="26"/>
  <c r="CT86" i="26" s="1"/>
  <c r="CM96" i="26"/>
  <c r="CM125" i="26" s="1"/>
  <c r="CM127" i="26" s="1"/>
  <c r="BK215" i="25"/>
  <c r="CY57" i="25" s="1"/>
  <c r="BJ216" i="25"/>
  <c r="CX58" i="25"/>
  <c r="CX60" i="25" s="1"/>
  <c r="DA105" i="25"/>
  <c r="CU105" i="25"/>
  <c r="CU138" i="25" s="1"/>
  <c r="CW58" i="23"/>
  <c r="CW60" i="23" s="1"/>
  <c r="DB67" i="23"/>
  <c r="CR67" i="23"/>
  <c r="CR98" i="23" s="1"/>
  <c r="CR100" i="23" s="1"/>
  <c r="BL215" i="23"/>
  <c r="CX57" i="23" s="1"/>
  <c r="BK216" i="23"/>
  <c r="BM134" i="20" l="1"/>
  <c r="CP59" i="20" s="1"/>
  <c r="BL135" i="20"/>
  <c r="CZ79" i="20"/>
  <c r="CZ101" i="20" s="1"/>
  <c r="CZ103" i="20" s="1"/>
  <c r="CD79" i="20"/>
  <c r="CO60" i="20"/>
  <c r="CO62" i="20" s="1"/>
  <c r="CJ45" i="20"/>
  <c r="CJ57" i="20" s="1"/>
  <c r="CT45" i="20"/>
  <c r="CU140" i="25"/>
  <c r="CP125" i="30"/>
  <c r="L131" i="30" s="1"/>
  <c r="I131" i="30"/>
  <c r="I132" i="30" s="1"/>
  <c r="H47" i="30"/>
  <c r="H48" i="30" s="1"/>
  <c r="BJ221" i="26"/>
  <c r="BK220" i="26"/>
  <c r="CV83" i="26" s="1"/>
  <c r="CU84" i="26"/>
  <c r="CU86" i="26" s="1"/>
  <c r="CO95" i="26"/>
  <c r="CO125" i="26" s="1"/>
  <c r="DA95" i="26"/>
  <c r="BK216" i="25"/>
  <c r="CZ57" i="25" s="1"/>
  <c r="BJ217" i="25"/>
  <c r="BK217" i="25" s="1"/>
  <c r="DA57" i="25" s="1"/>
  <c r="DA58" i="25" s="1"/>
  <c r="DA60" i="25" s="1"/>
  <c r="CY58" i="25"/>
  <c r="CY60" i="25" s="1"/>
  <c r="DA104" i="25"/>
  <c r="CW104" i="25"/>
  <c r="CW138" i="25" s="1"/>
  <c r="CW140" i="25" s="1"/>
  <c r="CX58" i="23"/>
  <c r="CX60" i="23" s="1"/>
  <c r="CT66" i="23"/>
  <c r="CT98" i="23" s="1"/>
  <c r="CT100" i="23" s="1"/>
  <c r="DB66" i="23"/>
  <c r="BK217" i="23"/>
  <c r="BL216" i="23"/>
  <c r="CY57" i="23" s="1"/>
  <c r="BM135" i="20" l="1"/>
  <c r="CQ59" i="20" s="1"/>
  <c r="BL136" i="20"/>
  <c r="DB78" i="20"/>
  <c r="DB101" i="20" s="1"/>
  <c r="DB103" i="20" s="1"/>
  <c r="CT44" i="20"/>
  <c r="CL44" i="20"/>
  <c r="CL57" i="20" s="1"/>
  <c r="CP60" i="20"/>
  <c r="CP62" i="20" s="1"/>
  <c r="CD78" i="20"/>
  <c r="CD101" i="20" s="1"/>
  <c r="CO127" i="26"/>
  <c r="L48" i="30"/>
  <c r="K48" i="30"/>
  <c r="CV84" i="26"/>
  <c r="CV86" i="26" s="1"/>
  <c r="DA94" i="26"/>
  <c r="CQ94" i="26"/>
  <c r="CQ125" i="26" s="1"/>
  <c r="CQ127" i="26" s="1"/>
  <c r="BK221" i="26"/>
  <c r="CW83" i="26" s="1"/>
  <c r="BJ222" i="26"/>
  <c r="CZ58" i="25"/>
  <c r="CZ60" i="25" s="1"/>
  <c r="DA103" i="25"/>
  <c r="DA138" i="25" s="1"/>
  <c r="DA140" i="25" s="1"/>
  <c r="CY103" i="25"/>
  <c r="CY138" i="25" s="1"/>
  <c r="CY140" i="25" s="1"/>
  <c r="BL217" i="23"/>
  <c r="CZ57" i="23" s="1"/>
  <c r="BK218" i="23"/>
  <c r="CY58" i="23"/>
  <c r="CY60" i="23" s="1"/>
  <c r="CV65" i="23"/>
  <c r="CV98" i="23" s="1"/>
  <c r="CV100" i="23" s="1"/>
  <c r="DB65" i="23"/>
  <c r="BO61" i="25" l="1"/>
  <c r="BM61" i="25" s="1"/>
  <c r="BN61" i="25" s="1"/>
  <c r="BL137" i="20"/>
  <c r="BM136" i="20"/>
  <c r="CR59" i="20" s="1"/>
  <c r="J133" i="20"/>
  <c r="J134" i="20" s="1"/>
  <c r="CD103" i="20"/>
  <c r="M133" i="20" s="1"/>
  <c r="M134" i="20" s="1"/>
  <c r="CQ60" i="20"/>
  <c r="CQ62" i="20" s="1"/>
  <c r="CU77" i="20"/>
  <c r="CM77" i="20"/>
  <c r="CT43" i="20"/>
  <c r="CN43" i="20"/>
  <c r="CN57" i="20" s="1"/>
  <c r="L131" i="25"/>
  <c r="I131" i="25"/>
  <c r="I132" i="25" s="1"/>
  <c r="H47" i="25"/>
  <c r="H48" i="25" s="1"/>
  <c r="L49" i="30"/>
  <c r="K49" i="30"/>
  <c r="CW84" i="26"/>
  <c r="CW86" i="26" s="1"/>
  <c r="CS93" i="26"/>
  <c r="CS125" i="26" s="1"/>
  <c r="CS127" i="26" s="1"/>
  <c r="DA93" i="26"/>
  <c r="BJ223" i="26"/>
  <c r="BK222" i="26"/>
  <c r="CX83" i="26" s="1"/>
  <c r="BK219" i="23"/>
  <c r="BL219" i="23" s="1"/>
  <c r="DB57" i="23" s="1"/>
  <c r="DB58" i="23" s="1"/>
  <c r="DB60" i="23" s="1"/>
  <c r="BL218" i="23"/>
  <c r="DA57" i="23" s="1"/>
  <c r="CZ58" i="23"/>
  <c r="CZ60" i="23" s="1"/>
  <c r="CX64" i="23"/>
  <c r="CX98" i="23" s="1"/>
  <c r="CX100" i="23" s="1"/>
  <c r="DB64" i="23"/>
  <c r="CM76" i="20" l="1"/>
  <c r="CW76" i="20"/>
  <c r="CR60" i="20"/>
  <c r="CR62" i="20" s="1"/>
  <c r="CT42" i="20"/>
  <c r="CP42" i="20"/>
  <c r="CP57" i="20" s="1"/>
  <c r="BM137" i="20"/>
  <c r="CS59" i="20" s="1"/>
  <c r="BL138" i="20"/>
  <c r="L48" i="25"/>
  <c r="K48" i="25"/>
  <c r="L126" i="30"/>
  <c r="L132" i="30" s="1"/>
  <c r="BD126" i="30" s="1"/>
  <c r="BB126" i="30" s="1"/>
  <c r="BC126" i="30" s="1"/>
  <c r="BK223" i="26"/>
  <c r="CY83" i="26" s="1"/>
  <c r="BJ224" i="26"/>
  <c r="CX84" i="26"/>
  <c r="CX86" i="26" s="1"/>
  <c r="DA92" i="26"/>
  <c r="CU92" i="26"/>
  <c r="CU125" i="26" s="1"/>
  <c r="CU127" i="26" s="1"/>
  <c r="DB63" i="23"/>
  <c r="DB98" i="23" s="1"/>
  <c r="CZ63" i="23"/>
  <c r="CZ98" i="23" s="1"/>
  <c r="CZ100" i="23" s="1"/>
  <c r="DA58" i="23"/>
  <c r="DA60" i="23" s="1"/>
  <c r="BP61" i="23" s="1"/>
  <c r="BN61" i="23" l="1"/>
  <c r="BO61" i="23" s="1"/>
  <c r="BL139" i="20"/>
  <c r="BM138" i="20"/>
  <c r="CT59" i="20" s="1"/>
  <c r="CM75" i="20"/>
  <c r="CR41" i="20"/>
  <c r="CR57" i="20" s="1"/>
  <c r="CY75" i="20"/>
  <c r="CT41" i="20"/>
  <c r="CT57" i="20" s="1"/>
  <c r="CS60" i="20"/>
  <c r="CS62" i="20" s="1"/>
  <c r="K49" i="25"/>
  <c r="L49" i="25"/>
  <c r="DB100" i="23"/>
  <c r="L131" i="23" s="1"/>
  <c r="I131" i="23"/>
  <c r="I132" i="23" s="1"/>
  <c r="H47" i="23"/>
  <c r="H48" i="23" s="1"/>
  <c r="BJ225" i="26"/>
  <c r="BK225" i="26" s="1"/>
  <c r="DA83" i="26" s="1"/>
  <c r="DA84" i="26" s="1"/>
  <c r="DA86" i="26" s="1"/>
  <c r="BK224" i="26"/>
  <c r="CZ83" i="26" s="1"/>
  <c r="CY84" i="26"/>
  <c r="CY86" i="26" s="1"/>
  <c r="CW91" i="26"/>
  <c r="CW125" i="26" s="1"/>
  <c r="DA91" i="26"/>
  <c r="CT60" i="20" l="1"/>
  <c r="CT62" i="20" s="1"/>
  <c r="CM74" i="20"/>
  <c r="DA74" i="20"/>
  <c r="BM139" i="20"/>
  <c r="CU59" i="20" s="1"/>
  <c r="BL140" i="20"/>
  <c r="L126" i="25"/>
  <c r="L132" i="25" s="1"/>
  <c r="BO141" i="25" s="1"/>
  <c r="CW127" i="26"/>
  <c r="L48" i="23"/>
  <c r="K48" i="23"/>
  <c r="CZ84" i="26"/>
  <c r="CZ86" i="26" s="1"/>
  <c r="BO87" i="26" s="1"/>
  <c r="DA90" i="26"/>
  <c r="DA125" i="26" s="1"/>
  <c r="DA127" i="26" s="1"/>
  <c r="CY90" i="26"/>
  <c r="CY125" i="26" s="1"/>
  <c r="CY127" i="26" s="1"/>
  <c r="BM141" i="25" l="1"/>
  <c r="BN141" i="25" s="1"/>
  <c r="BM87" i="26"/>
  <c r="BN87" i="26" s="1"/>
  <c r="CU60" i="20"/>
  <c r="CU62" i="20" s="1"/>
  <c r="DC73" i="20"/>
  <c r="CM73" i="20"/>
  <c r="CM101" i="20" s="1"/>
  <c r="CM103" i="20" s="1"/>
  <c r="BL141" i="20"/>
  <c r="BM140" i="20"/>
  <c r="CV59" i="20" s="1"/>
  <c r="I131" i="26"/>
  <c r="I132" i="26" s="1"/>
  <c r="L131" i="26"/>
  <c r="H47" i="26"/>
  <c r="H48" i="26" s="1"/>
  <c r="K49" i="23"/>
  <c r="L49" i="23"/>
  <c r="D4" i="3"/>
  <c r="D2" i="3"/>
  <c r="BL142" i="20" l="1"/>
  <c r="BM141" i="20"/>
  <c r="CW59" i="20" s="1"/>
  <c r="CO72" i="20"/>
  <c r="CO101" i="20" s="1"/>
  <c r="CO103" i="20" s="1"/>
  <c r="DC72" i="20"/>
  <c r="CV60" i="20"/>
  <c r="CV62" i="20" s="1"/>
  <c r="K48" i="26"/>
  <c r="L48" i="26"/>
  <c r="L126" i="23"/>
  <c r="L132" i="23" s="1"/>
  <c r="H11" i="3"/>
  <c r="H9" i="3"/>
  <c r="D4" i="1"/>
  <c r="AW162" i="1"/>
  <c r="BP101" i="23" l="1"/>
  <c r="BN101" i="23" s="1"/>
  <c r="BO101" i="23" s="1"/>
  <c r="CQ71" i="20"/>
  <c r="CQ101" i="20" s="1"/>
  <c r="CQ103" i="20" s="1"/>
  <c r="DC71" i="20"/>
  <c r="CW60" i="20"/>
  <c r="CW62" i="20" s="1"/>
  <c r="BL143" i="20"/>
  <c r="BM142" i="20"/>
  <c r="CX59" i="20" s="1"/>
  <c r="K49" i="26"/>
  <c r="L49" i="26"/>
  <c r="AW163" i="1"/>
  <c r="BM143" i="20" l="1"/>
  <c r="CY59" i="20" s="1"/>
  <c r="BL144" i="20"/>
  <c r="CS70" i="20"/>
  <c r="CS101" i="20" s="1"/>
  <c r="CS103" i="20" s="1"/>
  <c r="DC70" i="20"/>
  <c r="CX60" i="20"/>
  <c r="CX62" i="20" s="1"/>
  <c r="L126" i="26"/>
  <c r="L132" i="26" s="1"/>
  <c r="BO128" i="26" s="1"/>
  <c r="BM128" i="26" s="1"/>
  <c r="BN128" i="26" s="1"/>
  <c r="AW164" i="1"/>
  <c r="BL145" i="20" l="1"/>
  <c r="BM144" i="20"/>
  <c r="CZ59" i="20" s="1"/>
  <c r="CY60" i="20"/>
  <c r="CY62" i="20" s="1"/>
  <c r="DC69" i="20"/>
  <c r="CU69" i="20"/>
  <c r="CU101" i="20" s="1"/>
  <c r="CU103" i="20" s="1"/>
  <c r="AW165" i="1"/>
  <c r="CZ60" i="20" l="1"/>
  <c r="CZ62" i="20" s="1"/>
  <c r="CW68" i="20"/>
  <c r="CW101" i="20" s="1"/>
  <c r="DC68" i="20"/>
  <c r="BL146" i="20"/>
  <c r="BM145" i="20"/>
  <c r="DA59" i="20" s="1"/>
  <c r="AW166" i="1"/>
  <c r="BL147" i="20" l="1"/>
  <c r="BM147" i="20" s="1"/>
  <c r="DC59" i="20" s="1"/>
  <c r="DC60" i="20" s="1"/>
  <c r="DC62" i="20" s="1"/>
  <c r="BM146" i="20"/>
  <c r="DB59" i="20" s="1"/>
  <c r="CW103" i="20"/>
  <c r="DA60" i="20"/>
  <c r="DA62" i="20" s="1"/>
  <c r="DC67" i="20"/>
  <c r="CY67" i="20"/>
  <c r="CY101" i="20" s="1"/>
  <c r="CY103" i="20" s="1"/>
  <c r="AW167" i="1"/>
  <c r="DA66" i="20" l="1"/>
  <c r="DA101" i="20" s="1"/>
  <c r="DB60" i="20"/>
  <c r="DB62" i="20" s="1"/>
  <c r="BQ63" i="20" s="1"/>
  <c r="DC66" i="20"/>
  <c r="DC101" i="20" s="1"/>
  <c r="DC103" i="20" s="1"/>
  <c r="AW168" i="1"/>
  <c r="BO63" i="20" l="1"/>
  <c r="BP63" i="20" s="1"/>
  <c r="DA103" i="20"/>
  <c r="L133" i="20" s="1"/>
  <c r="I133" i="20"/>
  <c r="I134" i="20" s="1"/>
  <c r="H49" i="20"/>
  <c r="H50" i="20" s="1"/>
  <c r="AW169" i="1"/>
  <c r="K50" i="20" l="1"/>
  <c r="L50" i="20"/>
  <c r="AW170" i="1"/>
  <c r="L51" i="20" l="1"/>
  <c r="K51" i="20"/>
  <c r="AW171" i="1"/>
  <c r="L128" i="20" l="1"/>
  <c r="L134" i="20" s="1"/>
  <c r="AW172" i="1"/>
  <c r="BQ104" i="20" l="1"/>
  <c r="BO104" i="20" s="1"/>
  <c r="BP104" i="20" s="1"/>
  <c r="AW173" i="1"/>
  <c r="AW174" i="1" l="1"/>
  <c r="AW175" i="1" l="1"/>
  <c r="AW176" i="1" l="1"/>
  <c r="AW177" i="1" l="1"/>
  <c r="AW178" i="1" l="1"/>
  <c r="AW179" i="1" l="1"/>
  <c r="AW180" i="1" l="1"/>
  <c r="AW181" i="1" l="1"/>
  <c r="AW182" i="1" l="1"/>
  <c r="AW183" i="1" l="1"/>
  <c r="AW184" i="1" l="1"/>
  <c r="AW185" i="1" l="1"/>
  <c r="AW186" i="1" l="1"/>
  <c r="AW187" i="1" l="1"/>
  <c r="AW188" i="1" l="1"/>
  <c r="AW189" i="1" l="1"/>
  <c r="AW190" i="1" l="1"/>
  <c r="AW191" i="1" l="1"/>
  <c r="AW192" i="1" s="1"/>
  <c r="AW193" i="1" s="1"/>
  <c r="AW194" i="1" s="1"/>
  <c r="AW195" i="1" s="1"/>
  <c r="AW196" i="1" s="1"/>
  <c r="AW197" i="1" s="1"/>
  <c r="AW198" i="1" s="1"/>
  <c r="J161" i="3" l="1"/>
  <c r="K161" i="3" s="1"/>
  <c r="L161" i="3" s="1"/>
  <c r="M161" i="3" s="1"/>
  <c r="N161" i="3" s="1"/>
  <c r="J160" i="3"/>
  <c r="K160" i="3" s="1"/>
  <c r="L160" i="3" s="1"/>
  <c r="M160" i="3" s="1"/>
  <c r="N160" i="3" s="1"/>
  <c r="J159" i="3"/>
  <c r="K159" i="3" s="1"/>
  <c r="L159" i="3" s="1"/>
  <c r="M159" i="3" s="1"/>
  <c r="N159" i="3" s="1"/>
  <c r="J158" i="3"/>
  <c r="K158" i="3" s="1"/>
  <c r="L158" i="3" s="1"/>
  <c r="M158" i="3" s="1"/>
  <c r="N158" i="3" s="1"/>
  <c r="J157" i="3"/>
  <c r="K157" i="3" s="1"/>
  <c r="L157" i="3" s="1"/>
  <c r="M157" i="3" s="1"/>
  <c r="N157" i="3" s="1"/>
  <c r="J156" i="3"/>
  <c r="K156" i="3" s="1"/>
  <c r="L156" i="3" s="1"/>
  <c r="M156" i="3" s="1"/>
  <c r="N156" i="3" s="1"/>
  <c r="J155" i="3"/>
  <c r="K155" i="3" s="1"/>
  <c r="L155" i="3" s="1"/>
  <c r="M155" i="3" s="1"/>
  <c r="N155" i="3" s="1"/>
  <c r="J154" i="3"/>
  <c r="K154" i="3" s="1"/>
  <c r="L154" i="3" s="1"/>
  <c r="M154" i="3" s="1"/>
  <c r="N154" i="3" s="1"/>
  <c r="J153" i="3"/>
  <c r="K153" i="3" s="1"/>
  <c r="L153" i="3" s="1"/>
  <c r="M153" i="3" s="1"/>
  <c r="N153" i="3" s="1"/>
  <c r="J152" i="3"/>
  <c r="K152" i="3" s="1"/>
  <c r="L152" i="3" s="1"/>
  <c r="M152" i="3" s="1"/>
  <c r="N152" i="3" s="1"/>
  <c r="J151" i="3"/>
  <c r="K151" i="3" s="1"/>
  <c r="L151" i="3" s="1"/>
  <c r="M151" i="3" s="1"/>
  <c r="N151" i="3" s="1"/>
  <c r="AQ161" i="3"/>
  <c r="AQ160" i="3"/>
  <c r="AQ159" i="3"/>
  <c r="AQ158" i="3"/>
  <c r="AQ157" i="3"/>
  <c r="AQ156" i="3"/>
  <c r="AQ155" i="3"/>
  <c r="AQ154" i="3"/>
  <c r="AQ153" i="3"/>
  <c r="AQ152" i="3"/>
  <c r="AQ151" i="3"/>
  <c r="AQ150" i="3"/>
  <c r="C150" i="3"/>
  <c r="J150" i="3" s="1"/>
  <c r="P150" i="3" s="1"/>
  <c r="Q150" i="3" s="1"/>
  <c r="S150" i="3" s="1"/>
  <c r="G177" i="3"/>
  <c r="J178" i="3"/>
  <c r="K178" i="3" s="1"/>
  <c r="L178" i="3" s="1"/>
  <c r="M178" i="3" s="1"/>
  <c r="N178" i="3" s="1"/>
  <c r="J179" i="3"/>
  <c r="K179" i="3" s="1"/>
  <c r="L179" i="3" s="1"/>
  <c r="M179" i="3" s="1"/>
  <c r="N179" i="3" s="1"/>
  <c r="J180" i="3"/>
  <c r="K180" i="3" s="1"/>
  <c r="L180" i="3" s="1"/>
  <c r="M180" i="3" s="1"/>
  <c r="N180" i="3" s="1"/>
  <c r="J181" i="3"/>
  <c r="K181" i="3" s="1"/>
  <c r="L181" i="3" s="1"/>
  <c r="M181" i="3" s="1"/>
  <c r="N181" i="3" s="1"/>
  <c r="J182" i="3"/>
  <c r="K182" i="3" s="1"/>
  <c r="L182" i="3" s="1"/>
  <c r="M182" i="3" s="1"/>
  <c r="N182" i="3" s="1"/>
  <c r="J183" i="3"/>
  <c r="K183" i="3" s="1"/>
  <c r="L183" i="3" s="1"/>
  <c r="M183" i="3" s="1"/>
  <c r="N183" i="3" s="1"/>
  <c r="J184" i="3"/>
  <c r="K184" i="3" s="1"/>
  <c r="L184" i="3" s="1"/>
  <c r="M184" i="3" s="1"/>
  <c r="N184" i="3" s="1"/>
  <c r="J185" i="3"/>
  <c r="K185" i="3" s="1"/>
  <c r="L185" i="3" s="1"/>
  <c r="M185" i="3" s="1"/>
  <c r="N185" i="3" s="1"/>
  <c r="J186" i="3"/>
  <c r="K186" i="3" s="1"/>
  <c r="L186" i="3" s="1"/>
  <c r="M186" i="3" s="1"/>
  <c r="N186" i="3" s="1"/>
  <c r="J187" i="3"/>
  <c r="K187" i="3" s="1"/>
  <c r="L187" i="3" s="1"/>
  <c r="M187" i="3" s="1"/>
  <c r="N187" i="3" s="1"/>
  <c r="J188" i="3"/>
  <c r="K188" i="3" s="1"/>
  <c r="L188" i="3" s="1"/>
  <c r="M188" i="3" s="1"/>
  <c r="N188" i="3" s="1"/>
  <c r="J189" i="3"/>
  <c r="K189" i="3" s="1"/>
  <c r="L189" i="3" s="1"/>
  <c r="M189" i="3" s="1"/>
  <c r="N189" i="3" s="1"/>
  <c r="J190" i="3"/>
  <c r="K190" i="3" s="1"/>
  <c r="L190" i="3" s="1"/>
  <c r="M190" i="3" s="1"/>
  <c r="N190" i="3" s="1"/>
  <c r="J191" i="3"/>
  <c r="K191" i="3" s="1"/>
  <c r="L191" i="3" s="1"/>
  <c r="M191" i="3" s="1"/>
  <c r="N191" i="3" s="1"/>
  <c r="J192" i="3"/>
  <c r="K192" i="3" s="1"/>
  <c r="L192" i="3" s="1"/>
  <c r="M192" i="3" s="1"/>
  <c r="N192" i="3" s="1"/>
  <c r="J193" i="3"/>
  <c r="K193" i="3" s="1"/>
  <c r="L193" i="3" s="1"/>
  <c r="M193" i="3" s="1"/>
  <c r="N193" i="3" s="1"/>
  <c r="J194" i="3"/>
  <c r="K194" i="3" s="1"/>
  <c r="L194" i="3" s="1"/>
  <c r="M194" i="3" s="1"/>
  <c r="N194" i="3" s="1"/>
  <c r="J195" i="3"/>
  <c r="K195" i="3" s="1"/>
  <c r="L195" i="3" s="1"/>
  <c r="M195" i="3" s="1"/>
  <c r="N195" i="3" s="1"/>
  <c r="J196" i="3"/>
  <c r="K196" i="3" s="1"/>
  <c r="L196" i="3" s="1"/>
  <c r="M196" i="3" s="1"/>
  <c r="N196" i="3" s="1"/>
  <c r="B14" i="1"/>
  <c r="C14" i="1" s="1"/>
  <c r="G138" i="1"/>
  <c r="J139" i="1"/>
  <c r="K139" i="1" s="1"/>
  <c r="M139" i="1" s="1"/>
  <c r="N139" i="1" s="1"/>
  <c r="O139" i="1" s="1"/>
  <c r="J140" i="1"/>
  <c r="K140" i="1" s="1"/>
  <c r="M140" i="1" s="1"/>
  <c r="N140" i="1" s="1"/>
  <c r="O140" i="1" s="1"/>
  <c r="J141" i="1"/>
  <c r="K141" i="1" s="1"/>
  <c r="M141" i="1" s="1"/>
  <c r="N141" i="1" s="1"/>
  <c r="O141" i="1" s="1"/>
  <c r="J142" i="1"/>
  <c r="K142" i="1" s="1"/>
  <c r="M142" i="1" s="1"/>
  <c r="N142" i="1" s="1"/>
  <c r="O142" i="1" s="1"/>
  <c r="J143" i="1"/>
  <c r="K143" i="1" s="1"/>
  <c r="M143" i="1" s="1"/>
  <c r="N143" i="1" s="1"/>
  <c r="O143" i="1" s="1"/>
  <c r="J144" i="1"/>
  <c r="K144" i="1" s="1"/>
  <c r="M144" i="1" s="1"/>
  <c r="N144" i="1" s="1"/>
  <c r="O144" i="1" s="1"/>
  <c r="J145" i="1"/>
  <c r="K145" i="1" s="1"/>
  <c r="M145" i="1" s="1"/>
  <c r="N145" i="1" s="1"/>
  <c r="O145" i="1" s="1"/>
  <c r="J146" i="1"/>
  <c r="K146" i="1" s="1"/>
  <c r="M146" i="1" s="1"/>
  <c r="N146" i="1" s="1"/>
  <c r="O146" i="1" s="1"/>
  <c r="J147" i="1"/>
  <c r="K147" i="1" s="1"/>
  <c r="M147" i="1" s="1"/>
  <c r="N147" i="1" s="1"/>
  <c r="O147" i="1" s="1"/>
  <c r="J148" i="1"/>
  <c r="K148" i="1" s="1"/>
  <c r="M148" i="1" s="1"/>
  <c r="N148" i="1" s="1"/>
  <c r="O148" i="1" s="1"/>
  <c r="J149" i="1"/>
  <c r="K149" i="1" s="1"/>
  <c r="M149" i="1" s="1"/>
  <c r="N149" i="1" s="1"/>
  <c r="O149" i="1" s="1"/>
  <c r="J150" i="1"/>
  <c r="K150" i="1" s="1"/>
  <c r="M150" i="1" s="1"/>
  <c r="N150" i="1" s="1"/>
  <c r="O150" i="1" s="1"/>
  <c r="J151" i="1"/>
  <c r="K151" i="1" s="1"/>
  <c r="M151" i="1" s="1"/>
  <c r="N151" i="1" s="1"/>
  <c r="O151" i="1" s="1"/>
  <c r="J152" i="1"/>
  <c r="K152" i="1" s="1"/>
  <c r="M152" i="1" s="1"/>
  <c r="N152" i="1" s="1"/>
  <c r="O152" i="1" s="1"/>
  <c r="J153" i="1"/>
  <c r="K153" i="1" s="1"/>
  <c r="M153" i="1" s="1"/>
  <c r="N153" i="1" s="1"/>
  <c r="O153" i="1" s="1"/>
  <c r="J154" i="1"/>
  <c r="K154" i="1" s="1"/>
  <c r="M154" i="1" s="1"/>
  <c r="N154" i="1" s="1"/>
  <c r="O154" i="1" s="1"/>
  <c r="J155" i="1"/>
  <c r="K155" i="1" s="1"/>
  <c r="M155" i="1" s="1"/>
  <c r="N155" i="1" s="1"/>
  <c r="O155" i="1" s="1"/>
  <c r="J156" i="1"/>
  <c r="K156" i="1" s="1"/>
  <c r="M156" i="1" s="1"/>
  <c r="N156" i="1" s="1"/>
  <c r="O156" i="1" s="1"/>
  <c r="J157" i="1"/>
  <c r="K157" i="1" s="1"/>
  <c r="M157" i="1" s="1"/>
  <c r="N157" i="1" s="1"/>
  <c r="O157" i="1" s="1"/>
  <c r="AG151" i="3" l="1"/>
  <c r="AI151" i="3" s="1"/>
  <c r="AJ151" i="3" s="1"/>
  <c r="AK151" i="3" s="1"/>
  <c r="O152" i="3"/>
  <c r="P152" i="3" s="1"/>
  <c r="Q152" i="3" s="1"/>
  <c r="AG156" i="3"/>
  <c r="AG150" i="3"/>
  <c r="AH150" i="3" s="1"/>
  <c r="AG160" i="3"/>
  <c r="AH160" i="3" s="1"/>
  <c r="AG153" i="3"/>
  <c r="AH153" i="3" s="1"/>
  <c r="AG158" i="3"/>
  <c r="AG161" i="3"/>
  <c r="O160" i="3"/>
  <c r="P160" i="3" s="1"/>
  <c r="Q160" i="3" s="1"/>
  <c r="O157" i="3"/>
  <c r="P157" i="3" s="1"/>
  <c r="Q157" i="3" s="1"/>
  <c r="O158" i="3"/>
  <c r="P158" i="3" s="1"/>
  <c r="Q158" i="3" s="1"/>
  <c r="AG155" i="3"/>
  <c r="O156" i="3"/>
  <c r="P156" i="3" s="1"/>
  <c r="Q156" i="3" s="1"/>
  <c r="AG157" i="3"/>
  <c r="AH157" i="3" s="1"/>
  <c r="AG154" i="3"/>
  <c r="O159" i="3"/>
  <c r="P159" i="3" s="1"/>
  <c r="Q159" i="3" s="1"/>
  <c r="AG152" i="3"/>
  <c r="O155" i="3"/>
  <c r="P155" i="3" s="1"/>
  <c r="Q155" i="3" s="1"/>
  <c r="O161" i="3"/>
  <c r="P161" i="3" s="1"/>
  <c r="Q161" i="3" s="1"/>
  <c r="AG159" i="3"/>
  <c r="AH159" i="3" s="1"/>
  <c r="O153" i="3"/>
  <c r="P153" i="3" s="1"/>
  <c r="Q153" i="3" s="1"/>
  <c r="O151" i="3"/>
  <c r="P151" i="3" s="1"/>
  <c r="Q151" i="3" s="1"/>
  <c r="O154" i="3"/>
  <c r="P154" i="3" s="1"/>
  <c r="Q154" i="3" s="1"/>
  <c r="AL161" i="3" l="1"/>
  <c r="AM161" i="3" s="1"/>
  <c r="AN161" i="3" s="1"/>
  <c r="AH161" i="3"/>
  <c r="AL158" i="3"/>
  <c r="AM158" i="3" s="1"/>
  <c r="AN158" i="3" s="1"/>
  <c r="AH158" i="3"/>
  <c r="AH151" i="3"/>
  <c r="AL151" i="3"/>
  <c r="AM151" i="3" s="1"/>
  <c r="AN151" i="3" s="1"/>
  <c r="AR151" i="3" s="1"/>
  <c r="AI161" i="3"/>
  <c r="AJ161" i="3" s="1"/>
  <c r="AK161" i="3" s="1"/>
  <c r="AL150" i="3"/>
  <c r="AM150" i="3" s="1"/>
  <c r="AN150" i="3" s="1"/>
  <c r="AI150" i="3"/>
  <c r="AJ150" i="3" s="1"/>
  <c r="AK150" i="3" s="1"/>
  <c r="AL153" i="3"/>
  <c r="AM153" i="3" s="1"/>
  <c r="AN153" i="3" s="1"/>
  <c r="AI153" i="3"/>
  <c r="AJ153" i="3" s="1"/>
  <c r="AK153" i="3" s="1"/>
  <c r="AI156" i="3"/>
  <c r="AJ156" i="3" s="1"/>
  <c r="AK156" i="3" s="1"/>
  <c r="AL156" i="3"/>
  <c r="AM156" i="3" s="1"/>
  <c r="AN156" i="3" s="1"/>
  <c r="AL160" i="3"/>
  <c r="AM160" i="3" s="1"/>
  <c r="AN160" i="3" s="1"/>
  <c r="AI160" i="3"/>
  <c r="AJ160" i="3" s="1"/>
  <c r="AK160" i="3" s="1"/>
  <c r="AH156" i="3"/>
  <c r="AI158" i="3"/>
  <c r="AJ158" i="3" s="1"/>
  <c r="AK158" i="3" s="1"/>
  <c r="AL154" i="3"/>
  <c r="AM154" i="3" s="1"/>
  <c r="AN154" i="3" s="1"/>
  <c r="AH154" i="3"/>
  <c r="AI154" i="3"/>
  <c r="AJ154" i="3" s="1"/>
  <c r="AK154" i="3" s="1"/>
  <c r="AH155" i="3"/>
  <c r="AI155" i="3"/>
  <c r="AJ155" i="3" s="1"/>
  <c r="AK155" i="3" s="1"/>
  <c r="AL155" i="3"/>
  <c r="AM155" i="3" s="1"/>
  <c r="AN155" i="3" s="1"/>
  <c r="AI159" i="3"/>
  <c r="AJ159" i="3" s="1"/>
  <c r="AK159" i="3" s="1"/>
  <c r="AL159" i="3"/>
  <c r="AM159" i="3" s="1"/>
  <c r="AN159" i="3" s="1"/>
  <c r="AL152" i="3"/>
  <c r="AM152" i="3" s="1"/>
  <c r="AN152" i="3" s="1"/>
  <c r="AH152" i="3"/>
  <c r="AI152" i="3"/>
  <c r="AJ152" i="3" s="1"/>
  <c r="AK152" i="3" s="1"/>
  <c r="T150" i="3"/>
  <c r="AI157" i="3"/>
  <c r="AJ157" i="3" s="1"/>
  <c r="AK157" i="3" s="1"/>
  <c r="AL157" i="3"/>
  <c r="AM157" i="3" s="1"/>
  <c r="AN157" i="3" s="1"/>
  <c r="AR161" i="3" l="1"/>
  <c r="AR158" i="3"/>
  <c r="AR150" i="3"/>
  <c r="C8" i="3" s="1"/>
  <c r="AR153" i="3"/>
  <c r="AR156" i="3"/>
  <c r="AH164" i="3"/>
  <c r="AR154" i="3"/>
  <c r="AR160" i="3"/>
  <c r="AR159" i="3"/>
  <c r="AR157" i="3"/>
  <c r="V150" i="3"/>
  <c r="AE150" i="3" s="1"/>
  <c r="R151" i="3"/>
  <c r="S151" i="3" s="1"/>
  <c r="AR152" i="3"/>
  <c r="AR155" i="3"/>
  <c r="AL167" i="3" l="1"/>
  <c r="AM167" i="3" s="1"/>
  <c r="AN167" i="3" s="1"/>
  <c r="AL170" i="3"/>
  <c r="AM170" i="3" s="1"/>
  <c r="AN170" i="3" s="1"/>
  <c r="C177" i="3"/>
  <c r="AG195" i="3" s="1"/>
  <c r="X150" i="3"/>
  <c r="Z150" i="3" s="1"/>
  <c r="AS150" i="3"/>
  <c r="T151" i="3"/>
  <c r="S152" i="3"/>
  <c r="AG185" i="3" l="1"/>
  <c r="AL185" i="3" s="1"/>
  <c r="AM185" i="3" s="1"/>
  <c r="AN185" i="3" s="1"/>
  <c r="AG201" i="3"/>
  <c r="AG197" i="3"/>
  <c r="O199" i="3"/>
  <c r="P199" i="3" s="1"/>
  <c r="Q199" i="3" s="1"/>
  <c r="O197" i="3"/>
  <c r="P197" i="3" s="1"/>
  <c r="Q197" i="3" s="1"/>
  <c r="AG200" i="3"/>
  <c r="O202" i="3"/>
  <c r="P202" i="3" s="1"/>
  <c r="Q202" i="3" s="1"/>
  <c r="O198" i="3"/>
  <c r="P198" i="3" s="1"/>
  <c r="Q198" i="3" s="1"/>
  <c r="O201" i="3"/>
  <c r="P201" i="3" s="1"/>
  <c r="Q201" i="3" s="1"/>
  <c r="AG202" i="3"/>
  <c r="AG198" i="3"/>
  <c r="O200" i="3"/>
  <c r="P200" i="3" s="1"/>
  <c r="Q200" i="3" s="1"/>
  <c r="AG199" i="3"/>
  <c r="AO170" i="3"/>
  <c r="AG187" i="3"/>
  <c r="AG178" i="3"/>
  <c r="AG177" i="3"/>
  <c r="O188" i="3"/>
  <c r="P188" i="3" s="1"/>
  <c r="Q188" i="3" s="1"/>
  <c r="AG183" i="3"/>
  <c r="O179" i="3"/>
  <c r="P179" i="3" s="1"/>
  <c r="Q179" i="3" s="1"/>
  <c r="O185" i="3"/>
  <c r="P185" i="3" s="1"/>
  <c r="Q185" i="3" s="1"/>
  <c r="O187" i="3"/>
  <c r="P187" i="3" s="1"/>
  <c r="Q187" i="3" s="1"/>
  <c r="O180" i="3"/>
  <c r="P180" i="3" s="1"/>
  <c r="Q180" i="3" s="1"/>
  <c r="O191" i="3"/>
  <c r="P191" i="3" s="1"/>
  <c r="Q191" i="3" s="1"/>
  <c r="O184" i="3"/>
  <c r="P184" i="3" s="1"/>
  <c r="Q184" i="3" s="1"/>
  <c r="O195" i="3"/>
  <c r="P195" i="3" s="1"/>
  <c r="Q195" i="3" s="1"/>
  <c r="AG191" i="3"/>
  <c r="AG196" i="3"/>
  <c r="AG181" i="3"/>
  <c r="O189" i="3"/>
  <c r="P189" i="3" s="1"/>
  <c r="Q189" i="3" s="1"/>
  <c r="O196" i="3"/>
  <c r="P196" i="3" s="1"/>
  <c r="Q196" i="3" s="1"/>
  <c r="AG189" i="3"/>
  <c r="AG179" i="3"/>
  <c r="O178" i="3"/>
  <c r="P178" i="3" s="1"/>
  <c r="Q178" i="3" s="1"/>
  <c r="AG180" i="3"/>
  <c r="O182" i="3"/>
  <c r="P182" i="3" s="1"/>
  <c r="Q182" i="3" s="1"/>
  <c r="O193" i="3"/>
  <c r="P193" i="3" s="1"/>
  <c r="Q193" i="3" s="1"/>
  <c r="O190" i="3"/>
  <c r="P190" i="3" s="1"/>
  <c r="Q190" i="3" s="1"/>
  <c r="AG182" i="3"/>
  <c r="AG194" i="3"/>
  <c r="O194" i="3"/>
  <c r="P194" i="3" s="1"/>
  <c r="Q194" i="3" s="1"/>
  <c r="O177" i="3"/>
  <c r="P177" i="3" s="1"/>
  <c r="AG190" i="3"/>
  <c r="O181" i="3"/>
  <c r="P181" i="3" s="1"/>
  <c r="Q181" i="3" s="1"/>
  <c r="J177" i="3"/>
  <c r="K177" i="3" s="1"/>
  <c r="L177" i="3" s="1"/>
  <c r="M177" i="3" s="1"/>
  <c r="N177" i="3" s="1"/>
  <c r="O192" i="3"/>
  <c r="P192" i="3" s="1"/>
  <c r="Q192" i="3" s="1"/>
  <c r="AG193" i="3"/>
  <c r="AG184" i="3"/>
  <c r="AG192" i="3"/>
  <c r="AG186" i="3"/>
  <c r="O183" i="3"/>
  <c r="P183" i="3" s="1"/>
  <c r="Q183" i="3" s="1"/>
  <c r="AG188" i="3"/>
  <c r="O186" i="3"/>
  <c r="P186" i="3" s="1"/>
  <c r="Q186" i="3" s="1"/>
  <c r="V151" i="3"/>
  <c r="AE151" i="3" s="1"/>
  <c r="R152" i="3"/>
  <c r="S153" i="3"/>
  <c r="T152" i="3"/>
  <c r="AI185" i="3" l="1"/>
  <c r="AJ185" i="3" s="1"/>
  <c r="AK185" i="3" s="1"/>
  <c r="AL198" i="3"/>
  <c r="AM198" i="3" s="1"/>
  <c r="AN198" i="3" s="1"/>
  <c r="AI198" i="3"/>
  <c r="AJ198" i="3" s="1"/>
  <c r="AK198" i="3" s="1"/>
  <c r="AL197" i="3"/>
  <c r="AM197" i="3" s="1"/>
  <c r="AN197" i="3" s="1"/>
  <c r="AI197" i="3"/>
  <c r="AJ197" i="3" s="1"/>
  <c r="AK197" i="3" s="1"/>
  <c r="AL177" i="3"/>
  <c r="AM177" i="3" s="1"/>
  <c r="AN177" i="3" s="1"/>
  <c r="AI177" i="3"/>
  <c r="AJ177" i="3" s="1"/>
  <c r="AK177" i="3" s="1"/>
  <c r="AL202" i="3"/>
  <c r="AM202" i="3" s="1"/>
  <c r="AN202" i="3" s="1"/>
  <c r="AI202" i="3"/>
  <c r="AJ202" i="3" s="1"/>
  <c r="AK202" i="3" s="1"/>
  <c r="AL200" i="3"/>
  <c r="AM200" i="3" s="1"/>
  <c r="AN200" i="3" s="1"/>
  <c r="AI200" i="3"/>
  <c r="AJ200" i="3" s="1"/>
  <c r="AK200" i="3" s="1"/>
  <c r="AL201" i="3"/>
  <c r="AM201" i="3" s="1"/>
  <c r="AN201" i="3" s="1"/>
  <c r="AI201" i="3"/>
  <c r="AJ201" i="3" s="1"/>
  <c r="AK201" i="3" s="1"/>
  <c r="AI199" i="3"/>
  <c r="AJ199" i="3" s="1"/>
  <c r="AK199" i="3" s="1"/>
  <c r="AL199" i="3"/>
  <c r="AM199" i="3" s="1"/>
  <c r="AN199" i="3" s="1"/>
  <c r="AI179" i="3"/>
  <c r="AJ179" i="3" s="1"/>
  <c r="AK179" i="3" s="1"/>
  <c r="AL179" i="3"/>
  <c r="AM179" i="3" s="1"/>
  <c r="AN179" i="3" s="1"/>
  <c r="AL181" i="3"/>
  <c r="AM181" i="3" s="1"/>
  <c r="AN181" i="3" s="1"/>
  <c r="AI181" i="3"/>
  <c r="AJ181" i="3" s="1"/>
  <c r="AK181" i="3" s="1"/>
  <c r="AL188" i="3"/>
  <c r="AM188" i="3" s="1"/>
  <c r="AN188" i="3" s="1"/>
  <c r="AI188" i="3"/>
  <c r="AJ188" i="3" s="1"/>
  <c r="AK188" i="3" s="1"/>
  <c r="AI184" i="3"/>
  <c r="AJ184" i="3" s="1"/>
  <c r="AK184" i="3" s="1"/>
  <c r="AL184" i="3"/>
  <c r="AM184" i="3" s="1"/>
  <c r="AN184" i="3" s="1"/>
  <c r="AI194" i="3"/>
  <c r="AJ194" i="3" s="1"/>
  <c r="AK194" i="3" s="1"/>
  <c r="AL194" i="3"/>
  <c r="AM194" i="3" s="1"/>
  <c r="AN194" i="3" s="1"/>
  <c r="AL189" i="3"/>
  <c r="AM189" i="3" s="1"/>
  <c r="AN189" i="3" s="1"/>
  <c r="AI189" i="3"/>
  <c r="AJ189" i="3" s="1"/>
  <c r="AK189" i="3" s="1"/>
  <c r="AI196" i="3"/>
  <c r="AJ196" i="3" s="1"/>
  <c r="AK196" i="3" s="1"/>
  <c r="AL196" i="3"/>
  <c r="AM196" i="3" s="1"/>
  <c r="AN196" i="3" s="1"/>
  <c r="AI195" i="3"/>
  <c r="AJ195" i="3" s="1"/>
  <c r="AK195" i="3" s="1"/>
  <c r="AL195" i="3"/>
  <c r="AM195" i="3" s="1"/>
  <c r="AN195" i="3" s="1"/>
  <c r="AL193" i="3"/>
  <c r="AM193" i="3" s="1"/>
  <c r="AN193" i="3" s="1"/>
  <c r="AI193" i="3"/>
  <c r="AJ193" i="3" s="1"/>
  <c r="AK193" i="3" s="1"/>
  <c r="AI182" i="3"/>
  <c r="AJ182" i="3" s="1"/>
  <c r="AK182" i="3" s="1"/>
  <c r="AL182" i="3"/>
  <c r="AM182" i="3" s="1"/>
  <c r="AN182" i="3" s="1"/>
  <c r="AI180" i="3"/>
  <c r="AJ180" i="3" s="1"/>
  <c r="AK180" i="3" s="1"/>
  <c r="AL180" i="3"/>
  <c r="AM180" i="3" s="1"/>
  <c r="AN180" i="3" s="1"/>
  <c r="AI191" i="3"/>
  <c r="AJ191" i="3" s="1"/>
  <c r="AK191" i="3" s="1"/>
  <c r="AL191" i="3"/>
  <c r="AM191" i="3" s="1"/>
  <c r="AN191" i="3" s="1"/>
  <c r="AL178" i="3"/>
  <c r="AM178" i="3" s="1"/>
  <c r="AN178" i="3" s="1"/>
  <c r="AI178" i="3"/>
  <c r="AJ178" i="3" s="1"/>
  <c r="AK178" i="3" s="1"/>
  <c r="AI192" i="3"/>
  <c r="AJ192" i="3" s="1"/>
  <c r="AK192" i="3" s="1"/>
  <c r="AL192" i="3"/>
  <c r="AM192" i="3" s="1"/>
  <c r="AN192" i="3" s="1"/>
  <c r="AL190" i="3"/>
  <c r="AM190" i="3" s="1"/>
  <c r="AN190" i="3" s="1"/>
  <c r="AI190" i="3"/>
  <c r="AJ190" i="3" s="1"/>
  <c r="AK190" i="3" s="1"/>
  <c r="AL186" i="3"/>
  <c r="AM186" i="3" s="1"/>
  <c r="AN186" i="3" s="1"/>
  <c r="AI186" i="3"/>
  <c r="AJ186" i="3" s="1"/>
  <c r="AK186" i="3" s="1"/>
  <c r="AI183" i="3"/>
  <c r="AJ183" i="3" s="1"/>
  <c r="AK183" i="3" s="1"/>
  <c r="AL183" i="3"/>
  <c r="AM183" i="3" s="1"/>
  <c r="AN183" i="3" s="1"/>
  <c r="AI187" i="3"/>
  <c r="AJ187" i="3" s="1"/>
  <c r="AK187" i="3" s="1"/>
  <c r="AL187" i="3"/>
  <c r="AM187" i="3" s="1"/>
  <c r="AN187" i="3" s="1"/>
  <c r="AR185" i="3"/>
  <c r="Q177" i="3"/>
  <c r="S177" i="3" s="1"/>
  <c r="T177" i="3" s="1"/>
  <c r="R178" i="3" s="1"/>
  <c r="S178" i="3" s="1"/>
  <c r="T178" i="3" s="1"/>
  <c r="S154" i="3"/>
  <c r="T153" i="3"/>
  <c r="AS151" i="3"/>
  <c r="V152" i="3"/>
  <c r="AE152" i="3" s="1"/>
  <c r="R153" i="3"/>
  <c r="AR198" i="3" l="1"/>
  <c r="AR200" i="3"/>
  <c r="AR199" i="3"/>
  <c r="AR201" i="3"/>
  <c r="AR202" i="3"/>
  <c r="AR197" i="3"/>
  <c r="AR187" i="3"/>
  <c r="AR177" i="3"/>
  <c r="AR180" i="3"/>
  <c r="AR186" i="3"/>
  <c r="AR195" i="3"/>
  <c r="AR192" i="3"/>
  <c r="AR191" i="3"/>
  <c r="AR184" i="3"/>
  <c r="AR190" i="3"/>
  <c r="AR193" i="3"/>
  <c r="AR178" i="3"/>
  <c r="AR194" i="3"/>
  <c r="AR181" i="3"/>
  <c r="AR196" i="3"/>
  <c r="AR182" i="3"/>
  <c r="AR189" i="3"/>
  <c r="AR183" i="3"/>
  <c r="AR179" i="3"/>
  <c r="AR188" i="3"/>
  <c r="S179" i="3"/>
  <c r="S180" i="3" s="1"/>
  <c r="V177" i="3"/>
  <c r="R179" i="3"/>
  <c r="V178" i="3"/>
  <c r="AS152" i="3"/>
  <c r="S155" i="3"/>
  <c r="T154" i="3"/>
  <c r="V153" i="3"/>
  <c r="AE153" i="3" s="1"/>
  <c r="R154" i="3"/>
  <c r="AS178" i="3" l="1"/>
  <c r="AS177" i="3"/>
  <c r="T179" i="3"/>
  <c r="V179" i="3" s="1"/>
  <c r="S181" i="3"/>
  <c r="T180" i="3"/>
  <c r="AS153" i="3"/>
  <c r="R155" i="3"/>
  <c r="V154" i="3"/>
  <c r="AE154" i="3" s="1"/>
  <c r="S156" i="3"/>
  <c r="T155" i="3"/>
  <c r="AS179" i="3" l="1"/>
  <c r="R180" i="3"/>
  <c r="S182" i="3"/>
  <c r="T181" i="3"/>
  <c r="R181" i="3"/>
  <c r="V180" i="3"/>
  <c r="AS154" i="3"/>
  <c r="T156" i="3"/>
  <c r="S157" i="3"/>
  <c r="V155" i="3"/>
  <c r="AE155" i="3" s="1"/>
  <c r="R156" i="3"/>
  <c r="AS180" i="3" l="1"/>
  <c r="T182" i="3"/>
  <c r="S183" i="3"/>
  <c r="V181" i="3"/>
  <c r="R182" i="3"/>
  <c r="AS155" i="3"/>
  <c r="V156" i="3"/>
  <c r="R157" i="3"/>
  <c r="S158" i="3"/>
  <c r="T157" i="3"/>
  <c r="AS181" i="3" l="1"/>
  <c r="R158" i="3"/>
  <c r="V157" i="3"/>
  <c r="AE156" i="3"/>
  <c r="R183" i="3"/>
  <c r="V182" i="3"/>
  <c r="S184" i="3"/>
  <c r="T183" i="3"/>
  <c r="AS156" i="3"/>
  <c r="S159" i="3"/>
  <c r="T158" i="3"/>
  <c r="AS182" i="3" l="1"/>
  <c r="AE157" i="3"/>
  <c r="AS157" i="3"/>
  <c r="R159" i="3"/>
  <c r="V158" i="3"/>
  <c r="T184" i="3"/>
  <c r="S185" i="3"/>
  <c r="V183" i="3"/>
  <c r="R184" i="3"/>
  <c r="T159" i="3"/>
  <c r="S160" i="3"/>
  <c r="AS183" i="3" l="1"/>
  <c r="R160" i="3"/>
  <c r="V159" i="3"/>
  <c r="AE158" i="3"/>
  <c r="AS158" i="3"/>
  <c r="R185" i="3"/>
  <c r="V184" i="3"/>
  <c r="S186" i="3"/>
  <c r="T185" i="3"/>
  <c r="T160" i="3"/>
  <c r="S161" i="3"/>
  <c r="T161" i="3" s="1"/>
  <c r="V161" i="3" s="1"/>
  <c r="AE161" i="3" l="1"/>
  <c r="AF161" i="3"/>
  <c r="AS161" i="3"/>
  <c r="R161" i="3"/>
  <c r="V160" i="3"/>
  <c r="AF157" i="3" s="1"/>
  <c r="AU157" i="3" s="1"/>
  <c r="AS184" i="3"/>
  <c r="AE159" i="3"/>
  <c r="AS159" i="3"/>
  <c r="S187" i="3"/>
  <c r="T186" i="3"/>
  <c r="V185" i="3"/>
  <c r="R186" i="3"/>
  <c r="AF151" i="3" l="1"/>
  <c r="AU151" i="3" s="1"/>
  <c r="AF153" i="3"/>
  <c r="AU153" i="3" s="1"/>
  <c r="AF152" i="3"/>
  <c r="AU152" i="3" s="1"/>
  <c r="AF155" i="3"/>
  <c r="AU155" i="3" s="1"/>
  <c r="AF150" i="3"/>
  <c r="AU150" i="3" s="1"/>
  <c r="AF156" i="3"/>
  <c r="AU156" i="3" s="1"/>
  <c r="AF159" i="3"/>
  <c r="AU159" i="3" s="1"/>
  <c r="AF158" i="3"/>
  <c r="AU158" i="3" s="1"/>
  <c r="AF154" i="3"/>
  <c r="AU154" i="3" s="1"/>
  <c r="AU161" i="3"/>
  <c r="AE160" i="3"/>
  <c r="AD153" i="3" s="1"/>
  <c r="AC153" i="3" s="1"/>
  <c r="AF160" i="3"/>
  <c r="AS160" i="3"/>
  <c r="AS185" i="3"/>
  <c r="R187" i="3"/>
  <c r="V186" i="3"/>
  <c r="T187" i="3"/>
  <c r="S188" i="3"/>
  <c r="AD154" i="3" l="1"/>
  <c r="AC154" i="3" s="1"/>
  <c r="AD155" i="3"/>
  <c r="AC155" i="3" s="1"/>
  <c r="AD151" i="3"/>
  <c r="AC151" i="3" s="1"/>
  <c r="AD152" i="3"/>
  <c r="AC152" i="3" s="1"/>
  <c r="AD150" i="3"/>
  <c r="AC150" i="3" s="1"/>
  <c r="AD158" i="3"/>
  <c r="AC158" i="3" s="1"/>
  <c r="AD156" i="3"/>
  <c r="AC156" i="3" s="1"/>
  <c r="AD159" i="3"/>
  <c r="AC159" i="3" s="1"/>
  <c r="AD160" i="3"/>
  <c r="AC160" i="3" s="1"/>
  <c r="AD157" i="3"/>
  <c r="AC157" i="3" s="1"/>
  <c r="AD161" i="3"/>
  <c r="AC161" i="3" s="1"/>
  <c r="AU160" i="3"/>
  <c r="AS186" i="3"/>
  <c r="S189" i="3"/>
  <c r="T188" i="3"/>
  <c r="R188" i="3"/>
  <c r="V187" i="3"/>
  <c r="AC149" i="3" l="1"/>
  <c r="AA150" i="3" s="1"/>
  <c r="AS187" i="3"/>
  <c r="S190" i="3"/>
  <c r="T189" i="3"/>
  <c r="R189" i="3"/>
  <c r="V188" i="3"/>
  <c r="AS188" i="3" l="1"/>
  <c r="S191" i="3"/>
  <c r="T190" i="3"/>
  <c r="V189" i="3"/>
  <c r="R190" i="3"/>
  <c r="AS189" i="3" l="1"/>
  <c r="T191" i="3"/>
  <c r="S192" i="3"/>
  <c r="R191" i="3"/>
  <c r="V190" i="3"/>
  <c r="AS190" i="3" l="1"/>
  <c r="R192" i="3"/>
  <c r="V191" i="3"/>
  <c r="T192" i="3"/>
  <c r="S193" i="3"/>
  <c r="AS191" i="3" l="1"/>
  <c r="R193" i="3"/>
  <c r="V192" i="3"/>
  <c r="S194" i="3"/>
  <c r="T193" i="3"/>
  <c r="AS192" i="3" l="1"/>
  <c r="S195" i="3"/>
  <c r="T194" i="3"/>
  <c r="R194" i="3"/>
  <c r="V193" i="3"/>
  <c r="AS193" i="3" l="1"/>
  <c r="S196" i="3"/>
  <c r="S197" i="3" s="1"/>
  <c r="T195" i="3"/>
  <c r="V194" i="3"/>
  <c r="R195" i="3"/>
  <c r="S198" i="3" l="1"/>
  <c r="T197" i="3"/>
  <c r="AS194" i="3"/>
  <c r="T196" i="3"/>
  <c r="V195" i="3"/>
  <c r="R196" i="3"/>
  <c r="V197" i="3" l="1"/>
  <c r="R198" i="3"/>
  <c r="S199" i="3"/>
  <c r="T198" i="3"/>
  <c r="V196" i="3"/>
  <c r="AS196" i="3" s="1"/>
  <c r="R197" i="3"/>
  <c r="AS195" i="3"/>
  <c r="S200" i="3" l="1"/>
  <c r="T199" i="3"/>
  <c r="AS197" i="3"/>
  <c r="R199" i="3"/>
  <c r="V198" i="3"/>
  <c r="G195" i="3"/>
  <c r="R200" i="3" l="1"/>
  <c r="V199" i="3"/>
  <c r="AS198" i="3"/>
  <c r="S201" i="3"/>
  <c r="T200" i="3"/>
  <c r="G179" i="3"/>
  <c r="G196" i="3"/>
  <c r="G194" i="3"/>
  <c r="G181" i="3"/>
  <c r="G190" i="3"/>
  <c r="G185" i="3"/>
  <c r="G191" i="3"/>
  <c r="G186" i="3"/>
  <c r="G178" i="3"/>
  <c r="G187" i="3"/>
  <c r="G188" i="3"/>
  <c r="G193" i="3"/>
  <c r="G182" i="3"/>
  <c r="G180" i="3"/>
  <c r="G192" i="3"/>
  <c r="G189" i="3"/>
  <c r="G184" i="3"/>
  <c r="G183" i="3"/>
  <c r="S202" i="3" l="1"/>
  <c r="T202" i="3" s="1"/>
  <c r="V202" i="3" s="1"/>
  <c r="T201" i="3"/>
  <c r="AS199" i="3"/>
  <c r="R201" i="3"/>
  <c r="V200" i="3"/>
  <c r="G152" i="1"/>
  <c r="G151" i="1"/>
  <c r="G149" i="1"/>
  <c r="G156" i="1"/>
  <c r="V201" i="3" l="1"/>
  <c r="AF177" i="3" s="1"/>
  <c r="R202" i="3"/>
  <c r="AS202" i="3"/>
  <c r="AF202" i="3"/>
  <c r="AS200" i="3"/>
  <c r="G144" i="1"/>
  <c r="G155" i="1"/>
  <c r="G150" i="1"/>
  <c r="G145" i="1"/>
  <c r="G140" i="1"/>
  <c r="G148" i="1"/>
  <c r="G147" i="1"/>
  <c r="G142" i="1"/>
  <c r="G154" i="1"/>
  <c r="G141" i="1"/>
  <c r="G153" i="1"/>
  <c r="G146" i="1"/>
  <c r="G157" i="1"/>
  <c r="G139" i="1"/>
  <c r="AF178" i="3" l="1"/>
  <c r="AU178" i="3" s="1"/>
  <c r="AW178" i="3" s="1"/>
  <c r="AY178" i="3" s="1"/>
  <c r="AF193" i="3"/>
  <c r="AU193" i="3" s="1"/>
  <c r="AW193" i="3" s="1"/>
  <c r="AY193" i="3" s="1"/>
  <c r="AF182" i="3"/>
  <c r="AU182" i="3" s="1"/>
  <c r="AW182" i="3" s="1"/>
  <c r="AY182" i="3" s="1"/>
  <c r="AF190" i="3"/>
  <c r="AU190" i="3" s="1"/>
  <c r="AW190" i="3" s="1"/>
  <c r="AY190" i="3" s="1"/>
  <c r="AF198" i="3"/>
  <c r="AU198" i="3" s="1"/>
  <c r="AW198" i="3" s="1"/>
  <c r="AY198" i="3" s="1"/>
  <c r="AF185" i="3"/>
  <c r="AU185" i="3" s="1"/>
  <c r="AV185" i="3" s="1"/>
  <c r="AX185" i="3" s="1"/>
  <c r="AZ185" i="3" s="1"/>
  <c r="AF183" i="3"/>
  <c r="AU183" i="3" s="1"/>
  <c r="AW183" i="3" s="1"/>
  <c r="AY183" i="3" s="1"/>
  <c r="AF191" i="3"/>
  <c r="AU191" i="3" s="1"/>
  <c r="AW191" i="3" s="1"/>
  <c r="AY191" i="3" s="1"/>
  <c r="AF180" i="3"/>
  <c r="AU180" i="3" s="1"/>
  <c r="AW180" i="3" s="1"/>
  <c r="AY180" i="3" s="1"/>
  <c r="AF199" i="3"/>
  <c r="AU199" i="3" s="1"/>
  <c r="AW199" i="3" s="1"/>
  <c r="AY199" i="3" s="1"/>
  <c r="AF200" i="3"/>
  <c r="AU200" i="3" s="1"/>
  <c r="AF186" i="3"/>
  <c r="AU186" i="3" s="1"/>
  <c r="AV186" i="3" s="1"/>
  <c r="AX186" i="3" s="1"/>
  <c r="AZ186" i="3" s="1"/>
  <c r="AF179" i="3"/>
  <c r="AU179" i="3" s="1"/>
  <c r="AW179" i="3" s="1"/>
  <c r="AY179" i="3" s="1"/>
  <c r="AF192" i="3"/>
  <c r="AU192" i="3" s="1"/>
  <c r="AV192" i="3" s="1"/>
  <c r="AX192" i="3" s="1"/>
  <c r="AZ192" i="3" s="1"/>
  <c r="AF187" i="3"/>
  <c r="AU187" i="3" s="1"/>
  <c r="AV187" i="3" s="1"/>
  <c r="AX187" i="3" s="1"/>
  <c r="AZ187" i="3" s="1"/>
  <c r="AF184" i="3"/>
  <c r="AU184" i="3" s="1"/>
  <c r="AV184" i="3" s="1"/>
  <c r="AX184" i="3" s="1"/>
  <c r="AZ184" i="3" s="1"/>
  <c r="T173" i="3"/>
  <c r="AF197" i="3"/>
  <c r="AU197" i="3" s="1"/>
  <c r="AV197" i="3" s="1"/>
  <c r="AX197" i="3" s="1"/>
  <c r="AZ197" i="3" s="1"/>
  <c r="AF189" i="3"/>
  <c r="AU189" i="3" s="1"/>
  <c r="AW189" i="3" s="1"/>
  <c r="AY189" i="3" s="1"/>
  <c r="AF188" i="3"/>
  <c r="AU188" i="3" s="1"/>
  <c r="AW188" i="3" s="1"/>
  <c r="AY188" i="3" s="1"/>
  <c r="AF181" i="3"/>
  <c r="AU181" i="3" s="1"/>
  <c r="AV181" i="3" s="1"/>
  <c r="AX181" i="3" s="1"/>
  <c r="AZ181" i="3" s="1"/>
  <c r="AU202" i="3"/>
  <c r="AW202" i="3" s="1"/>
  <c r="AY202" i="3" s="1"/>
  <c r="AO160" i="3"/>
  <c r="AT160" i="3" s="1"/>
  <c r="AO150" i="3"/>
  <c r="AO146" i="3" s="1"/>
  <c r="AO151" i="3"/>
  <c r="AT151" i="3" s="1"/>
  <c r="AO161" i="3"/>
  <c r="AT161" i="3" s="1"/>
  <c r="AO156" i="3"/>
  <c r="AT156" i="3" s="1"/>
  <c r="AO155" i="3"/>
  <c r="AT155" i="3" s="1"/>
  <c r="AO158" i="3"/>
  <c r="AT158" i="3" s="1"/>
  <c r="AO157" i="3"/>
  <c r="AT157" i="3" s="1"/>
  <c r="AO154" i="3"/>
  <c r="AT154" i="3" s="1"/>
  <c r="AU177" i="3"/>
  <c r="AO159" i="3"/>
  <c r="AT159" i="3" s="1"/>
  <c r="AO153" i="3"/>
  <c r="AT153" i="3" s="1"/>
  <c r="AO152" i="3"/>
  <c r="AT152" i="3" s="1"/>
  <c r="AF201" i="3"/>
  <c r="AS201" i="3"/>
  <c r="AF194" i="3"/>
  <c r="AU194" i="3" s="1"/>
  <c r="AF195" i="3"/>
  <c r="AU195" i="3" s="1"/>
  <c r="AF196" i="3"/>
  <c r="AU196" i="3" s="1"/>
  <c r="AV178" i="3" l="1"/>
  <c r="AX178" i="3" s="1"/>
  <c r="AZ178" i="3" s="1"/>
  <c r="AV190" i="3"/>
  <c r="AX190" i="3" s="1"/>
  <c r="AZ190" i="3" s="1"/>
  <c r="AV193" i="3"/>
  <c r="AX193" i="3" s="1"/>
  <c r="AZ193" i="3" s="1"/>
  <c r="AV199" i="3"/>
  <c r="AX199" i="3" s="1"/>
  <c r="AZ199" i="3" s="1"/>
  <c r="AV179" i="3"/>
  <c r="AX179" i="3" s="1"/>
  <c r="AZ179" i="3" s="1"/>
  <c r="AV191" i="3"/>
  <c r="AX191" i="3" s="1"/>
  <c r="AZ191" i="3" s="1"/>
  <c r="AV183" i="3"/>
  <c r="AX183" i="3" s="1"/>
  <c r="AZ183" i="3" s="1"/>
  <c r="AV182" i="3"/>
  <c r="AX182" i="3" s="1"/>
  <c r="AZ182" i="3" s="1"/>
  <c r="AV198" i="3"/>
  <c r="AX198" i="3" s="1"/>
  <c r="AZ198" i="3" s="1"/>
  <c r="AW185" i="3"/>
  <c r="AY185" i="3" s="1"/>
  <c r="BA185" i="3" s="1"/>
  <c r="AW186" i="3"/>
  <c r="AY186" i="3" s="1"/>
  <c r="BA186" i="3" s="1"/>
  <c r="AV202" i="3"/>
  <c r="AX202" i="3" s="1"/>
  <c r="AZ202" i="3" s="1"/>
  <c r="AW192" i="3"/>
  <c r="AY192" i="3" s="1"/>
  <c r="AB192" i="3" s="1"/>
  <c r="AW187" i="3"/>
  <c r="AY187" i="3" s="1"/>
  <c r="BA187" i="3" s="1"/>
  <c r="AW200" i="3"/>
  <c r="AY200" i="3" s="1"/>
  <c r="AB200" i="3" s="1"/>
  <c r="AV200" i="3"/>
  <c r="AX200" i="3" s="1"/>
  <c r="AZ200" i="3" s="1"/>
  <c r="AV180" i="3"/>
  <c r="AX180" i="3" s="1"/>
  <c r="AZ180" i="3" s="1"/>
  <c r="AW197" i="3"/>
  <c r="AY197" i="3" s="1"/>
  <c r="BA197" i="3" s="1"/>
  <c r="AV189" i="3"/>
  <c r="AX189" i="3" s="1"/>
  <c r="AZ189" i="3" s="1"/>
  <c r="AW184" i="3"/>
  <c r="AY184" i="3" s="1"/>
  <c r="BA184" i="3" s="1"/>
  <c r="AW181" i="3"/>
  <c r="AY181" i="3" s="1"/>
  <c r="BA181" i="3" s="1"/>
  <c r="AV188" i="3"/>
  <c r="AX188" i="3" s="1"/>
  <c r="AZ188" i="3" s="1"/>
  <c r="AW152" i="3"/>
  <c r="AY152" i="3" s="1"/>
  <c r="BA152" i="3" s="1"/>
  <c r="AV152" i="3"/>
  <c r="AX152" i="3" s="1"/>
  <c r="AZ152" i="3" s="1"/>
  <c r="AV160" i="3"/>
  <c r="AX160" i="3" s="1"/>
  <c r="AZ160" i="3" s="1"/>
  <c r="AW160" i="3"/>
  <c r="AY160" i="3" s="1"/>
  <c r="BA160" i="3" s="1"/>
  <c r="AW196" i="3"/>
  <c r="AY196" i="3" s="1"/>
  <c r="AV196" i="3"/>
  <c r="AX196" i="3" s="1"/>
  <c r="AZ196" i="3" s="1"/>
  <c r="AU201" i="3"/>
  <c r="AB182" i="3"/>
  <c r="BA182" i="3"/>
  <c r="AB198" i="3"/>
  <c r="BA198" i="3"/>
  <c r="AB199" i="3"/>
  <c r="BA199" i="3"/>
  <c r="AW177" i="3"/>
  <c r="AY177" i="3" s="1"/>
  <c r="AV177" i="3"/>
  <c r="AX177" i="3" s="1"/>
  <c r="AZ177" i="3" s="1"/>
  <c r="AW155" i="3"/>
  <c r="AY155" i="3" s="1"/>
  <c r="BA155" i="3" s="1"/>
  <c r="AV155" i="3"/>
  <c r="AX155" i="3" s="1"/>
  <c r="AZ155" i="3" s="1"/>
  <c r="C9" i="3"/>
  <c r="AT150" i="3"/>
  <c r="AB188" i="3"/>
  <c r="BA188" i="3"/>
  <c r="AW195" i="3"/>
  <c r="AY195" i="3" s="1"/>
  <c r="AV195" i="3"/>
  <c r="AX195" i="3" s="1"/>
  <c r="AZ195" i="3" s="1"/>
  <c r="AB179" i="3"/>
  <c r="BA179" i="3"/>
  <c r="AW154" i="3"/>
  <c r="AY154" i="3" s="1"/>
  <c r="BA154" i="3" s="1"/>
  <c r="AV154" i="3"/>
  <c r="AX154" i="3" s="1"/>
  <c r="AZ154" i="3" s="1"/>
  <c r="AV194" i="3"/>
  <c r="AX194" i="3" s="1"/>
  <c r="AZ194" i="3" s="1"/>
  <c r="AW194" i="3"/>
  <c r="AY194" i="3" s="1"/>
  <c r="AB178" i="3"/>
  <c r="BA178" i="3"/>
  <c r="AB193" i="3"/>
  <c r="BA193" i="3"/>
  <c r="AB191" i="3"/>
  <c r="BA191" i="3"/>
  <c r="AV153" i="3"/>
  <c r="AX153" i="3" s="1"/>
  <c r="AZ153" i="3" s="1"/>
  <c r="AW153" i="3"/>
  <c r="AY153" i="3" s="1"/>
  <c r="BA153" i="3" s="1"/>
  <c r="AV157" i="3"/>
  <c r="AX157" i="3" s="1"/>
  <c r="AZ157" i="3" s="1"/>
  <c r="AW157" i="3"/>
  <c r="AY157" i="3" s="1"/>
  <c r="BA157" i="3" s="1"/>
  <c r="AV161" i="3"/>
  <c r="AX161" i="3" s="1"/>
  <c r="AZ161" i="3" s="1"/>
  <c r="AW161" i="3"/>
  <c r="AY161" i="3" s="1"/>
  <c r="BA161" i="3" s="1"/>
  <c r="AB183" i="3"/>
  <c r="BA183" i="3"/>
  <c r="AV156" i="3"/>
  <c r="AX156" i="3" s="1"/>
  <c r="AZ156" i="3" s="1"/>
  <c r="AW156" i="3"/>
  <c r="AY156" i="3" s="1"/>
  <c r="BA156" i="3" s="1"/>
  <c r="AB190" i="3"/>
  <c r="BA190" i="3"/>
  <c r="AB180" i="3"/>
  <c r="BA180" i="3"/>
  <c r="AV159" i="3"/>
  <c r="AX159" i="3" s="1"/>
  <c r="AZ159" i="3" s="1"/>
  <c r="AW159" i="3"/>
  <c r="AY159" i="3" s="1"/>
  <c r="BA159" i="3" s="1"/>
  <c r="AV158" i="3"/>
  <c r="AX158" i="3" s="1"/>
  <c r="AZ158" i="3" s="1"/>
  <c r="AW158" i="3"/>
  <c r="AY158" i="3" s="1"/>
  <c r="BA158" i="3" s="1"/>
  <c r="AV151" i="3"/>
  <c r="AX151" i="3" s="1"/>
  <c r="AZ151" i="3" s="1"/>
  <c r="AW151" i="3"/>
  <c r="AY151" i="3" s="1"/>
  <c r="BA151" i="3" s="1"/>
  <c r="AB189" i="3"/>
  <c r="BA189" i="3"/>
  <c r="AB202" i="3"/>
  <c r="BA202" i="3"/>
  <c r="AB197" i="3" l="1"/>
  <c r="AB185" i="3"/>
  <c r="AB181" i="3"/>
  <c r="AB186" i="3"/>
  <c r="BA192" i="3"/>
  <c r="AB187" i="3"/>
  <c r="AB184" i="3"/>
  <c r="BA200" i="3"/>
  <c r="AW150" i="3"/>
  <c r="AY150" i="3" s="1"/>
  <c r="BA150" i="3" s="1"/>
  <c r="AV150" i="3"/>
  <c r="AX150" i="3" s="1"/>
  <c r="AZ150" i="3" s="1"/>
  <c r="AB196" i="3"/>
  <c r="BA196" i="3"/>
  <c r="BA195" i="3"/>
  <c r="AB195" i="3"/>
  <c r="D3" i="3"/>
  <c r="C3" i="3"/>
  <c r="D22" i="3"/>
  <c r="C5" i="3"/>
  <c r="C22" i="3"/>
  <c r="AB177" i="3"/>
  <c r="BA177" i="3"/>
  <c r="AB194" i="3"/>
  <c r="BA194" i="3"/>
  <c r="AW201" i="3"/>
  <c r="AY201" i="3" s="1"/>
  <c r="AV201" i="3"/>
  <c r="AX201" i="3" s="1"/>
  <c r="AZ201" i="3" s="1"/>
  <c r="BM56" i="3" l="1"/>
  <c r="BN56" i="3" s="1"/>
  <c r="BH183" i="3"/>
  <c r="D5" i="3"/>
  <c r="BH185" i="3"/>
  <c r="BI185" i="3" s="1"/>
  <c r="BH206" i="3"/>
  <c r="BI206" i="3" s="1"/>
  <c r="BH193" i="3"/>
  <c r="BI193" i="3" s="1"/>
  <c r="BH204" i="3"/>
  <c r="BI204" i="3" s="1"/>
  <c r="BH188" i="3"/>
  <c r="BI188" i="3" s="1"/>
  <c r="BH211" i="3"/>
  <c r="BI211" i="3" s="1"/>
  <c r="BH195" i="3"/>
  <c r="BI195" i="3" s="1"/>
  <c r="BH186" i="3"/>
  <c r="BI186" i="3" s="1"/>
  <c r="BH189" i="3"/>
  <c r="BI189" i="3" s="1"/>
  <c r="CB33" i="3"/>
  <c r="BH202" i="3"/>
  <c r="BI202" i="3" s="1"/>
  <c r="BH194" i="3"/>
  <c r="BI194" i="3" s="1"/>
  <c r="BH216" i="3"/>
  <c r="BI216" i="3" s="1"/>
  <c r="BH184" i="3"/>
  <c r="BI184" i="3" s="1"/>
  <c r="BH191" i="3"/>
  <c r="BI191" i="3" s="1"/>
  <c r="BH217" i="3"/>
  <c r="BI217" i="3" s="1"/>
  <c r="CZ30" i="3"/>
  <c r="L14" i="3" s="1"/>
  <c r="BH197" i="3"/>
  <c r="BI197" i="3" s="1"/>
  <c r="BH209" i="3"/>
  <c r="BI209" i="3" s="1"/>
  <c r="BH192" i="3"/>
  <c r="BI192" i="3" s="1"/>
  <c r="BH198" i="3"/>
  <c r="BI198" i="3" s="1"/>
  <c r="CQ33" i="3"/>
  <c r="BH218" i="3"/>
  <c r="BI218" i="3" s="1"/>
  <c r="BH200" i="3"/>
  <c r="BI200" i="3" s="1"/>
  <c r="BH207" i="3"/>
  <c r="BI207" i="3" s="1"/>
  <c r="BH208" i="3"/>
  <c r="BI208" i="3" s="1"/>
  <c r="BH199" i="3"/>
  <c r="BI199" i="3" s="1"/>
  <c r="L54" i="3"/>
  <c r="BH213" i="3"/>
  <c r="BI213" i="3" s="1"/>
  <c r="BH214" i="3"/>
  <c r="BI214" i="3" s="1"/>
  <c r="BH190" i="3"/>
  <c r="BI190" i="3" s="1"/>
  <c r="BH212" i="3"/>
  <c r="BI212" i="3" s="1"/>
  <c r="BH196" i="3"/>
  <c r="BI196" i="3" s="1"/>
  <c r="BH219" i="3"/>
  <c r="BH203" i="3"/>
  <c r="BI203" i="3" s="1"/>
  <c r="BH187" i="3"/>
  <c r="BI187" i="3" s="1"/>
  <c r="BH205" i="3"/>
  <c r="BI205" i="3" s="1"/>
  <c r="CB30" i="3"/>
  <c r="J14" i="3" s="1"/>
  <c r="J54" i="3"/>
  <c r="BH210" i="3"/>
  <c r="BI210" i="3" s="1"/>
  <c r="BH215" i="3"/>
  <c r="BI215" i="3" s="1"/>
  <c r="BH201" i="3"/>
  <c r="BI201" i="3" s="1"/>
  <c r="AB201" i="3"/>
  <c r="BA201" i="3"/>
  <c r="J12" i="3" l="1"/>
  <c r="BM29" i="3"/>
  <c r="BN29" i="3" s="1"/>
  <c r="DD107" i="3"/>
  <c r="BI219" i="3"/>
  <c r="BM32" i="3"/>
  <c r="BN32" i="3" s="1"/>
  <c r="BO33" i="3"/>
  <c r="BM33" i="3" s="1"/>
  <c r="L12" i="3"/>
  <c r="K12" i="3"/>
  <c r="BQ27" i="3"/>
  <c r="J8" i="3" s="1"/>
  <c r="CO27" i="3"/>
  <c r="L55" i="3"/>
  <c r="J55" i="3"/>
  <c r="BI183" i="3"/>
  <c r="BL107" i="3"/>
  <c r="BN33" i="3" l="1"/>
  <c r="L6" i="3"/>
  <c r="L7" i="3" s="1"/>
  <c r="L8" i="3"/>
  <c r="M126" i="3"/>
  <c r="H23" i="3"/>
  <c r="D141" i="3"/>
  <c r="D143" i="3"/>
  <c r="H16" i="3"/>
  <c r="K13" i="3"/>
  <c r="BJ183" i="3"/>
  <c r="L13" i="3"/>
  <c r="D144" i="3"/>
  <c r="D142" i="3"/>
  <c r="K6" i="3"/>
  <c r="BM26" i="3"/>
  <c r="BN26" i="3" s="1"/>
  <c r="J6" i="3"/>
  <c r="J13" i="3"/>
  <c r="BO30" i="3" l="1"/>
  <c r="BM30" i="3" s="1"/>
  <c r="J7" i="3"/>
  <c r="J36" i="3"/>
  <c r="J18" i="3"/>
  <c r="K36" i="3"/>
  <c r="K18" i="3"/>
  <c r="BK183" i="3"/>
  <c r="BQ98" i="3" s="1"/>
  <c r="BQ99" i="3" s="1"/>
  <c r="BQ58" i="3" s="1"/>
  <c r="BJ184" i="3"/>
  <c r="K7" i="3"/>
  <c r="K24" i="3"/>
  <c r="L30" i="3"/>
  <c r="K30" i="3"/>
  <c r="L24" i="3"/>
  <c r="BN30" i="3" l="1"/>
  <c r="L31" i="3"/>
  <c r="J19" i="3"/>
  <c r="K25" i="3"/>
  <c r="J37" i="3"/>
  <c r="BK184" i="3"/>
  <c r="BR98" i="3" s="1"/>
  <c r="BJ185" i="3"/>
  <c r="L25" i="3"/>
  <c r="K19" i="3"/>
  <c r="K31" i="3"/>
  <c r="K37" i="3"/>
  <c r="BO27" i="3"/>
  <c r="BM27" i="3" s="1"/>
  <c r="BN27" i="3" l="1"/>
  <c r="I126" i="3"/>
  <c r="K85" i="3"/>
  <c r="J126" i="3"/>
  <c r="BJ186" i="3"/>
  <c r="BK185" i="3"/>
  <c r="BS98" i="3" s="1"/>
  <c r="M85" i="3"/>
  <c r="BQ96" i="3"/>
  <c r="BS96" i="3"/>
  <c r="BR99" i="3"/>
  <c r="BR58" i="3" s="1"/>
  <c r="BU95" i="3" l="1"/>
  <c r="BS99" i="3"/>
  <c r="BS58" i="3" s="1"/>
  <c r="BQ95" i="3"/>
  <c r="BJ187" i="3"/>
  <c r="BK186" i="3"/>
  <c r="BT98" i="3" s="1"/>
  <c r="BK187" i="3" l="1"/>
  <c r="BU98" i="3" s="1"/>
  <c r="BJ188" i="3"/>
  <c r="BT99" i="3"/>
  <c r="BT58" i="3" s="1"/>
  <c r="BW94" i="3"/>
  <c r="BQ94" i="3"/>
  <c r="BJ189" i="3" l="1"/>
  <c r="BK188" i="3"/>
  <c r="BV98" i="3" s="1"/>
  <c r="BU99" i="3"/>
  <c r="BU58" i="3" s="1"/>
  <c r="BQ93" i="3"/>
  <c r="BY93" i="3"/>
  <c r="CA92" i="3" l="1"/>
  <c r="CA97" i="3" s="1"/>
  <c r="CA101" i="3" s="1"/>
  <c r="BQ92" i="3"/>
  <c r="BV99" i="3"/>
  <c r="BV58" i="3" s="1"/>
  <c r="BJ190" i="3"/>
  <c r="BK189" i="3"/>
  <c r="BW98" i="3" s="1"/>
  <c r="BK190" i="3" l="1"/>
  <c r="BX98" i="3" s="1"/>
  <c r="BJ191" i="3"/>
  <c r="CC91" i="3"/>
  <c r="CC97" i="3" s="1"/>
  <c r="CC101" i="3" s="1"/>
  <c r="BW99" i="3"/>
  <c r="BW58" i="3" s="1"/>
  <c r="BQ91" i="3"/>
  <c r="BK191" i="3" l="1"/>
  <c r="BY98" i="3" s="1"/>
  <c r="BJ192" i="3"/>
  <c r="CE90" i="3"/>
  <c r="CE97" i="3" s="1"/>
  <c r="CE101" i="3" s="1"/>
  <c r="BQ90" i="3"/>
  <c r="BX99" i="3"/>
  <c r="BX58" i="3" s="1"/>
  <c r="BJ193" i="3" l="1"/>
  <c r="BK192" i="3"/>
  <c r="BZ98" i="3" s="1"/>
  <c r="CG89" i="3"/>
  <c r="BQ89" i="3"/>
  <c r="BQ97" i="3" s="1"/>
  <c r="BQ101" i="3" s="1"/>
  <c r="BY99" i="3"/>
  <c r="BY58" i="3" s="1"/>
  <c r="CG88" i="3" l="1"/>
  <c r="BS88" i="3"/>
  <c r="BS97" i="3" s="1"/>
  <c r="BS101" i="3" s="1"/>
  <c r="BZ99" i="3"/>
  <c r="BZ58" i="3" s="1"/>
  <c r="BJ194" i="3"/>
  <c r="BK193" i="3"/>
  <c r="CA98" i="3" s="1"/>
  <c r="BJ195" i="3" l="1"/>
  <c r="BK194" i="3"/>
  <c r="CB98" i="3" s="1"/>
  <c r="CA99" i="3"/>
  <c r="CA58" i="3" s="1"/>
  <c r="CG87" i="3"/>
  <c r="BU87" i="3"/>
  <c r="BU97" i="3" s="1"/>
  <c r="BU101" i="3" s="1"/>
  <c r="BW86" i="3" l="1"/>
  <c r="BW97" i="3" s="1"/>
  <c r="BW101" i="3" s="1"/>
  <c r="CG86" i="3"/>
  <c r="CB99" i="3"/>
  <c r="CB58" i="3" s="1"/>
  <c r="BK195" i="3"/>
  <c r="CC98" i="3" s="1"/>
  <c r="BJ196" i="3"/>
  <c r="BJ197" i="3" l="1"/>
  <c r="BK196" i="3"/>
  <c r="CD98" i="3" s="1"/>
  <c r="CD53" i="3"/>
  <c r="CB53" i="3"/>
  <c r="CC99" i="3"/>
  <c r="CC58" i="3" s="1"/>
  <c r="BY85" i="3"/>
  <c r="BY97" i="3" s="1"/>
  <c r="BY101" i="3" s="1"/>
  <c r="CG85" i="3"/>
  <c r="CG97" i="3" s="1"/>
  <c r="CG101" i="3" s="1"/>
  <c r="CP84" i="3" l="1"/>
  <c r="CB52" i="3"/>
  <c r="CF52" i="3"/>
  <c r="CD99" i="3"/>
  <c r="CD58" i="3" s="1"/>
  <c r="BR84" i="3"/>
  <c r="BR97" i="3" s="1"/>
  <c r="BR101" i="3" s="1"/>
  <c r="BJ198" i="3"/>
  <c r="BK197" i="3"/>
  <c r="CE98" i="3" s="1"/>
  <c r="CP83" i="3" l="1"/>
  <c r="CB51" i="3"/>
  <c r="BT83" i="3"/>
  <c r="BT97" i="3" s="1"/>
  <c r="CH51" i="3"/>
  <c r="CE99" i="3"/>
  <c r="CE58" i="3" s="1"/>
  <c r="BJ199" i="3"/>
  <c r="BK198" i="3"/>
  <c r="CF98" i="3" s="1"/>
  <c r="CB50" i="3" l="1"/>
  <c r="CJ50" i="3"/>
  <c r="CP82" i="3"/>
  <c r="CF99" i="3"/>
  <c r="CF58" i="3" s="1"/>
  <c r="BV82" i="3"/>
  <c r="BV97" i="3" s="1"/>
  <c r="BV101" i="3" s="1"/>
  <c r="BT101" i="3"/>
  <c r="BK199" i="3"/>
  <c r="CG98" i="3" s="1"/>
  <c r="BJ200" i="3"/>
  <c r="CL49" i="3" l="1"/>
  <c r="CP81" i="3"/>
  <c r="CB49" i="3"/>
  <c r="BX81" i="3"/>
  <c r="BX97" i="3" s="1"/>
  <c r="CG99" i="3"/>
  <c r="CG58" i="3" s="1"/>
  <c r="BJ201" i="3"/>
  <c r="BK200" i="3"/>
  <c r="CH98" i="3" s="1"/>
  <c r="BX101" i="3" l="1"/>
  <c r="CN48" i="3"/>
  <c r="BZ80" i="3"/>
  <c r="BZ97" i="3" s="1"/>
  <c r="BZ101" i="3" s="1"/>
  <c r="CH99" i="3"/>
  <c r="CH58" i="3" s="1"/>
  <c r="CB48" i="3"/>
  <c r="CP80" i="3"/>
  <c r="BJ202" i="3"/>
  <c r="BK201" i="3"/>
  <c r="CI98" i="3" s="1"/>
  <c r="BV123" i="1"/>
  <c r="BV125" i="1" s="1"/>
  <c r="BK202" i="3" l="1"/>
  <c r="CJ98" i="3" s="1"/>
  <c r="BJ203" i="3"/>
  <c r="H42" i="3"/>
  <c r="H43" i="3" s="1"/>
  <c r="CI99" i="3"/>
  <c r="CI58" i="3" s="1"/>
  <c r="CP47" i="3"/>
  <c r="CP79" i="3"/>
  <c r="CP97" i="3" s="1"/>
  <c r="CP101" i="3" s="1"/>
  <c r="K131" i="3" s="1"/>
  <c r="CB47" i="3"/>
  <c r="CB79" i="3"/>
  <c r="J42" i="3" l="1"/>
  <c r="K42" i="3"/>
  <c r="BK203" i="3"/>
  <c r="CK98" i="3" s="1"/>
  <c r="BJ204" i="3"/>
  <c r="CR46" i="3"/>
  <c r="CJ99" i="3"/>
  <c r="CJ58" i="3" s="1"/>
  <c r="CR78" i="3"/>
  <c r="CR97" i="3" s="1"/>
  <c r="CR101" i="3" s="1"/>
  <c r="CB78" i="3"/>
  <c r="CB46" i="3"/>
  <c r="CB55" i="3" s="1"/>
  <c r="CD45" i="3" l="1"/>
  <c r="CD55" i="3" s="1"/>
  <c r="CK99" i="3"/>
  <c r="CK58" i="3" s="1"/>
  <c r="CT77" i="3"/>
  <c r="CT97" i="3" s="1"/>
  <c r="CT101" i="3" s="1"/>
  <c r="CB77" i="3"/>
  <c r="CR45" i="3"/>
  <c r="BJ205" i="3"/>
  <c r="BK204" i="3"/>
  <c r="CL98" i="3" s="1"/>
  <c r="K43" i="3"/>
  <c r="J43" i="3"/>
  <c r="CB123" i="1"/>
  <c r="CB125" i="1" s="1"/>
  <c r="K126" i="3" l="1"/>
  <c r="K132" i="3" s="1"/>
  <c r="CB76" i="3"/>
  <c r="CR44" i="3"/>
  <c r="CF44" i="3"/>
  <c r="CF55" i="3" s="1"/>
  <c r="CV76" i="3"/>
  <c r="CV97" i="3" s="1"/>
  <c r="CV101" i="3" s="1"/>
  <c r="CL99" i="3"/>
  <c r="CL58" i="3" s="1"/>
  <c r="BK205" i="3"/>
  <c r="CM98" i="3" s="1"/>
  <c r="BJ206" i="3"/>
  <c r="CD123" i="1"/>
  <c r="CD125" i="1" s="1"/>
  <c r="BJ207" i="3" l="1"/>
  <c r="BK206" i="3"/>
  <c r="CN98" i="3" s="1"/>
  <c r="CB75" i="3"/>
  <c r="CH43" i="3"/>
  <c r="CH55" i="3" s="1"/>
  <c r="CR43" i="3"/>
  <c r="CX75" i="3"/>
  <c r="CX97" i="3" s="1"/>
  <c r="CX101" i="3" s="1"/>
  <c r="CM99" i="3"/>
  <c r="CM58" i="3" s="1"/>
  <c r="CJ42" i="3" l="1"/>
  <c r="CJ55" i="3" s="1"/>
  <c r="CN99" i="3"/>
  <c r="CN58" i="3" s="1"/>
  <c r="CB74" i="3"/>
  <c r="CB97" i="3" s="1"/>
  <c r="CZ74" i="3"/>
  <c r="CZ97" i="3" s="1"/>
  <c r="CZ101" i="3" s="1"/>
  <c r="CR42" i="3"/>
  <c r="BJ208" i="3"/>
  <c r="BK207" i="3"/>
  <c r="CO98" i="3" s="1"/>
  <c r="CK73" i="3" l="1"/>
  <c r="CS73" i="3"/>
  <c r="CO99" i="3"/>
  <c r="CO58" i="3" s="1"/>
  <c r="CR41" i="3"/>
  <c r="CL41" i="3"/>
  <c r="CL55" i="3" s="1"/>
  <c r="CB101" i="3"/>
  <c r="M131" i="3" s="1"/>
  <c r="M132" i="3" s="1"/>
  <c r="J131" i="3"/>
  <c r="J132" i="3" s="1"/>
  <c r="BK208" i="3"/>
  <c r="CP98" i="3" s="1"/>
  <c r="BJ209" i="3"/>
  <c r="CU72" i="3" l="1"/>
  <c r="CP99" i="3"/>
  <c r="CP58" i="3" s="1"/>
  <c r="CN40" i="3"/>
  <c r="CN55" i="3" s="1"/>
  <c r="CR40" i="3"/>
  <c r="CK72" i="3"/>
  <c r="BK209" i="3"/>
  <c r="CQ98" i="3" s="1"/>
  <c r="BJ210" i="3"/>
  <c r="BJ211" i="3" l="1"/>
  <c r="BK210" i="3"/>
  <c r="CR98" i="3" s="1"/>
  <c r="CW71" i="3"/>
  <c r="CQ99" i="3"/>
  <c r="CQ58" i="3" s="1"/>
  <c r="CK71" i="3"/>
  <c r="CR39" i="3"/>
  <c r="CR55" i="3" s="1"/>
  <c r="CP39" i="3"/>
  <c r="CP55" i="3" s="1"/>
  <c r="CK70" i="3" l="1"/>
  <c r="CY70" i="3"/>
  <c r="CR99" i="3"/>
  <c r="CR58" i="3" s="1"/>
  <c r="BJ212" i="3"/>
  <c r="BK211" i="3"/>
  <c r="CS98" i="3" s="1"/>
  <c r="BJ213" i="3" l="1"/>
  <c r="BK212" i="3"/>
  <c r="CT98" i="3" s="1"/>
  <c r="CS99" i="3"/>
  <c r="CS58" i="3" s="1"/>
  <c r="DA69" i="3"/>
  <c r="CK69" i="3"/>
  <c r="CK97" i="3" s="1"/>
  <c r="CK101" i="3" s="1"/>
  <c r="DA68" i="3" l="1"/>
  <c r="CT99" i="3"/>
  <c r="CT58" i="3" s="1"/>
  <c r="CM68" i="3"/>
  <c r="CM97" i="3" s="1"/>
  <c r="CM101" i="3" s="1"/>
  <c r="BK213" i="3"/>
  <c r="CU98" i="3" s="1"/>
  <c r="BJ214" i="3"/>
  <c r="CO67" i="3" l="1"/>
  <c r="CO97" i="3" s="1"/>
  <c r="CO101" i="3" s="1"/>
  <c r="DA67" i="3"/>
  <c r="CU99" i="3"/>
  <c r="CU58" i="3" s="1"/>
  <c r="BJ215" i="3"/>
  <c r="BK214" i="3"/>
  <c r="CV98" i="3" s="1"/>
  <c r="BJ216" i="3" l="1"/>
  <c r="BK215" i="3"/>
  <c r="CW98" i="3" s="1"/>
  <c r="CV99" i="3"/>
  <c r="CV58" i="3" s="1"/>
  <c r="CQ66" i="3"/>
  <c r="CQ97" i="3" s="1"/>
  <c r="CQ101" i="3" s="1"/>
  <c r="DA66" i="3"/>
  <c r="CW99" i="3" l="1"/>
  <c r="CW58" i="3" s="1"/>
  <c r="CS65" i="3"/>
  <c r="CS97" i="3" s="1"/>
  <c r="DA65" i="3"/>
  <c r="BK216" i="3"/>
  <c r="CX98" i="3" s="1"/>
  <c r="BJ217" i="3"/>
  <c r="BJ218" i="3" l="1"/>
  <c r="BK217" i="3"/>
  <c r="CY98" i="3" s="1"/>
  <c r="CS101" i="3"/>
  <c r="CU64" i="3"/>
  <c r="CU97" i="3" s="1"/>
  <c r="CU101" i="3" s="1"/>
  <c r="CX99" i="3"/>
  <c r="CX58" i="3" s="1"/>
  <c r="DA64" i="3"/>
  <c r="BJ219" i="3" l="1"/>
  <c r="BK219" i="3" s="1"/>
  <c r="DA98" i="3" s="1"/>
  <c r="DA99" i="3" s="1"/>
  <c r="DA58" i="3" s="1"/>
  <c r="BK218" i="3"/>
  <c r="CZ98" i="3" s="1"/>
  <c r="CW63" i="3"/>
  <c r="CW97" i="3" s="1"/>
  <c r="CW101" i="3" s="1"/>
  <c r="CY99" i="3"/>
  <c r="CY58" i="3" s="1"/>
  <c r="DA63" i="3"/>
  <c r="DA62" i="3" l="1"/>
  <c r="DA97" i="3" s="1"/>
  <c r="DA101" i="3" s="1"/>
  <c r="CY62" i="3"/>
  <c r="CY97" i="3" s="1"/>
  <c r="CZ99" i="3"/>
  <c r="CZ58" i="3" s="1"/>
  <c r="BO59" i="3" s="1"/>
  <c r="BM59" i="3" s="1"/>
  <c r="BN59" i="3" l="1"/>
  <c r="CY101" i="3"/>
  <c r="L131" i="3" s="1"/>
  <c r="I131" i="3"/>
  <c r="I132" i="3" s="1"/>
  <c r="H47" i="3"/>
  <c r="H48" i="3" s="1"/>
  <c r="K48" i="3" l="1"/>
  <c r="L48" i="3"/>
  <c r="L49" i="3" l="1"/>
  <c r="K49" i="3"/>
  <c r="P145" i="1"/>
  <c r="Q145" i="1" s="1"/>
  <c r="R145" i="1" s="1"/>
  <c r="P140" i="1"/>
  <c r="Q140" i="1" s="1"/>
  <c r="R140" i="1" s="1"/>
  <c r="P152" i="1"/>
  <c r="Q152" i="1" s="1"/>
  <c r="R152" i="1" s="1"/>
  <c r="P139" i="1"/>
  <c r="Q139" i="1" s="1"/>
  <c r="R139" i="1" s="1"/>
  <c r="P143" i="1"/>
  <c r="Q143" i="1" s="1"/>
  <c r="R143" i="1" s="1"/>
  <c r="P155" i="1"/>
  <c r="Q155" i="1" s="1"/>
  <c r="R155" i="1" s="1"/>
  <c r="P149" i="1"/>
  <c r="Q149" i="1" s="1"/>
  <c r="R149" i="1" s="1"/>
  <c r="P148" i="1"/>
  <c r="Q148" i="1" s="1"/>
  <c r="R148" i="1" s="1"/>
  <c r="P147" i="1"/>
  <c r="Q147" i="1" s="1"/>
  <c r="R147" i="1" s="1"/>
  <c r="P141" i="1"/>
  <c r="Q141" i="1" s="1"/>
  <c r="R141" i="1" s="1"/>
  <c r="P154" i="1"/>
  <c r="Q154" i="1" s="1"/>
  <c r="R154" i="1" s="1"/>
  <c r="P144" i="1"/>
  <c r="Q144" i="1" s="1"/>
  <c r="R144" i="1" s="1"/>
  <c r="P151" i="1"/>
  <c r="Q151" i="1" s="1"/>
  <c r="R151" i="1" s="1"/>
  <c r="P153" i="1"/>
  <c r="Q153" i="1" s="1"/>
  <c r="R153" i="1" s="1"/>
  <c r="P156" i="1"/>
  <c r="Q156" i="1" s="1"/>
  <c r="R156" i="1" s="1"/>
  <c r="P146" i="1"/>
  <c r="Q146" i="1" s="1"/>
  <c r="R146" i="1" s="1"/>
  <c r="Z144" i="1"/>
  <c r="Z150" i="1"/>
  <c r="Z145" i="1"/>
  <c r="Z157" i="1"/>
  <c r="Z143" i="1"/>
  <c r="Z153" i="1"/>
  <c r="Z156" i="1"/>
  <c r="J138" i="1"/>
  <c r="K138" i="1" s="1"/>
  <c r="M138" i="1" s="1"/>
  <c r="N138" i="1" s="1"/>
  <c r="O138" i="1" s="1"/>
  <c r="Z141" i="1"/>
  <c r="P150" i="1"/>
  <c r="Q150" i="1" s="1"/>
  <c r="R150" i="1" s="1"/>
  <c r="Z149" i="1"/>
  <c r="Z147" i="1"/>
  <c r="Z148" i="1"/>
  <c r="Z146" i="1"/>
  <c r="Z142" i="1"/>
  <c r="Z152" i="1"/>
  <c r="Z140" i="1"/>
  <c r="P142" i="1"/>
  <c r="Q142" i="1" s="1"/>
  <c r="R142" i="1" s="1"/>
  <c r="P157" i="1"/>
  <c r="Q157" i="1" s="1"/>
  <c r="R157" i="1" s="1"/>
  <c r="Z139" i="1"/>
  <c r="Z155" i="1"/>
  <c r="Z154" i="1"/>
  <c r="Z138" i="1"/>
  <c r="Z151" i="1"/>
  <c r="P138" i="1"/>
  <c r="Q138" i="1" s="1"/>
  <c r="L126" i="3" l="1"/>
  <c r="L132" i="3" s="1"/>
  <c r="BO102" i="3" s="1"/>
  <c r="BM102" i="3" s="1"/>
  <c r="AA154" i="1"/>
  <c r="AB154" i="1" s="1"/>
  <c r="AC154" i="1" s="1"/>
  <c r="AD154" i="1"/>
  <c r="AE154" i="1" s="1"/>
  <c r="AF154" i="1" s="1"/>
  <c r="AA146" i="1"/>
  <c r="AB146" i="1" s="1"/>
  <c r="AC146" i="1" s="1"/>
  <c r="AD146" i="1"/>
  <c r="AE146" i="1" s="1"/>
  <c r="AF146" i="1" s="1"/>
  <c r="AA150" i="1"/>
  <c r="AB150" i="1" s="1"/>
  <c r="AC150" i="1" s="1"/>
  <c r="AD150" i="1"/>
  <c r="AE150" i="1" s="1"/>
  <c r="AF150" i="1" s="1"/>
  <c r="AA155" i="1"/>
  <c r="AB155" i="1" s="1"/>
  <c r="AC155" i="1" s="1"/>
  <c r="AD155" i="1"/>
  <c r="AE155" i="1" s="1"/>
  <c r="AF155" i="1" s="1"/>
  <c r="AD140" i="1"/>
  <c r="AE140" i="1" s="1"/>
  <c r="AF140" i="1" s="1"/>
  <c r="AA140" i="1"/>
  <c r="AB140" i="1" s="1"/>
  <c r="AC140" i="1" s="1"/>
  <c r="AD148" i="1"/>
  <c r="AE148" i="1" s="1"/>
  <c r="AF148" i="1" s="1"/>
  <c r="AA148" i="1"/>
  <c r="AB148" i="1" s="1"/>
  <c r="AC148" i="1" s="1"/>
  <c r="AD141" i="1"/>
  <c r="AE141" i="1" s="1"/>
  <c r="AF141" i="1" s="1"/>
  <c r="AA141" i="1"/>
  <c r="AB141" i="1" s="1"/>
  <c r="AC141" i="1" s="1"/>
  <c r="AA143" i="1"/>
  <c r="AB143" i="1" s="1"/>
  <c r="AC143" i="1" s="1"/>
  <c r="AD143" i="1"/>
  <c r="AE143" i="1" s="1"/>
  <c r="AF143" i="1" s="1"/>
  <c r="AD144" i="1"/>
  <c r="AE144" i="1" s="1"/>
  <c r="AF144" i="1" s="1"/>
  <c r="AA144" i="1"/>
  <c r="AB144" i="1" s="1"/>
  <c r="AC144" i="1" s="1"/>
  <c r="AA151" i="1"/>
  <c r="AB151" i="1" s="1"/>
  <c r="AC151" i="1" s="1"/>
  <c r="AD151" i="1"/>
  <c r="AE151" i="1" s="1"/>
  <c r="AF151" i="1" s="1"/>
  <c r="AA139" i="1"/>
  <c r="AB139" i="1" s="1"/>
  <c r="AC139" i="1" s="1"/>
  <c r="AD139" i="1"/>
  <c r="AE139" i="1" s="1"/>
  <c r="AF139" i="1" s="1"/>
  <c r="AD152" i="1"/>
  <c r="AE152" i="1" s="1"/>
  <c r="AF152" i="1" s="1"/>
  <c r="AA152" i="1"/>
  <c r="AB152" i="1" s="1"/>
  <c r="AC152" i="1" s="1"/>
  <c r="AA147" i="1"/>
  <c r="AB147" i="1" s="1"/>
  <c r="AC147" i="1" s="1"/>
  <c r="AD147" i="1"/>
  <c r="AE147" i="1" s="1"/>
  <c r="AF147" i="1" s="1"/>
  <c r="AD157" i="1"/>
  <c r="AE157" i="1" s="1"/>
  <c r="AF157" i="1" s="1"/>
  <c r="AA157" i="1"/>
  <c r="AB157" i="1" s="1"/>
  <c r="AC157" i="1" s="1"/>
  <c r="AD153" i="1"/>
  <c r="AE153" i="1" s="1"/>
  <c r="AF153" i="1" s="1"/>
  <c r="AA153" i="1"/>
  <c r="AB153" i="1" s="1"/>
  <c r="AC153" i="1" s="1"/>
  <c r="AD138" i="1"/>
  <c r="AE138" i="1" s="1"/>
  <c r="AF138" i="1" s="1"/>
  <c r="AA138" i="1"/>
  <c r="AB138" i="1" s="1"/>
  <c r="AC138" i="1" s="1"/>
  <c r="AA142" i="1"/>
  <c r="AB142" i="1" s="1"/>
  <c r="AC142" i="1" s="1"/>
  <c r="AD142" i="1"/>
  <c r="AE142" i="1" s="1"/>
  <c r="AF142" i="1" s="1"/>
  <c r="AD149" i="1"/>
  <c r="AE149" i="1" s="1"/>
  <c r="AF149" i="1" s="1"/>
  <c r="AA149" i="1"/>
  <c r="AB149" i="1" s="1"/>
  <c r="AC149" i="1" s="1"/>
  <c r="AD156" i="1"/>
  <c r="AE156" i="1" s="1"/>
  <c r="AF156" i="1" s="1"/>
  <c r="AA156" i="1"/>
  <c r="AB156" i="1" s="1"/>
  <c r="AC156" i="1" s="1"/>
  <c r="AD145" i="1"/>
  <c r="AE145" i="1" s="1"/>
  <c r="AF145" i="1" s="1"/>
  <c r="AA145" i="1"/>
  <c r="AB145" i="1" s="1"/>
  <c r="AC145" i="1" s="1"/>
  <c r="R138" i="1"/>
  <c r="T138" i="1" s="1"/>
  <c r="U138" i="1" s="1"/>
  <c r="S139" i="1" s="1"/>
  <c r="T139" i="1" s="1"/>
  <c r="BN102" i="3" l="1"/>
  <c r="AH144" i="1"/>
  <c r="AH146" i="1"/>
  <c r="AH138" i="1"/>
  <c r="AH145" i="1"/>
  <c r="AH139" i="1"/>
  <c r="AH143" i="1"/>
  <c r="AH157" i="1"/>
  <c r="AH154" i="1"/>
  <c r="W138" i="1"/>
  <c r="AH141" i="1"/>
  <c r="AH150" i="1"/>
  <c r="AH156" i="1"/>
  <c r="AH148" i="1"/>
  <c r="AH153" i="1"/>
  <c r="AH155" i="1"/>
  <c r="AH140" i="1"/>
  <c r="AH149" i="1"/>
  <c r="AH147" i="1"/>
  <c r="AH142" i="1"/>
  <c r="AH152" i="1"/>
  <c r="AH151" i="1"/>
  <c r="T140" i="1"/>
  <c r="U139" i="1"/>
  <c r="AI138" i="1" l="1"/>
  <c r="S140" i="1"/>
  <c r="W139" i="1"/>
  <c r="U140" i="1"/>
  <c r="T141" i="1"/>
  <c r="U141" i="1" l="1"/>
  <c r="T142" i="1"/>
  <c r="S141" i="1"/>
  <c r="W140" i="1"/>
  <c r="AI139" i="1"/>
  <c r="AI140" i="1" l="1"/>
  <c r="T143" i="1"/>
  <c r="U142" i="1"/>
  <c r="S142" i="1"/>
  <c r="W141" i="1"/>
  <c r="AI141" i="1" l="1"/>
  <c r="S143" i="1"/>
  <c r="W142" i="1"/>
  <c r="T144" i="1"/>
  <c r="U143" i="1"/>
  <c r="T145" i="1" l="1"/>
  <c r="U144" i="1"/>
  <c r="AI142" i="1"/>
  <c r="S144" i="1"/>
  <c r="W143" i="1"/>
  <c r="AI143" i="1" l="1"/>
  <c r="S145" i="1"/>
  <c r="W144" i="1"/>
  <c r="T146" i="1"/>
  <c r="U145" i="1"/>
  <c r="S146" i="1" l="1"/>
  <c r="W145" i="1"/>
  <c r="AI144" i="1"/>
  <c r="T147" i="1"/>
  <c r="U146" i="1"/>
  <c r="AI145" i="1" l="1"/>
  <c r="S147" i="1"/>
  <c r="W146" i="1"/>
  <c r="U147" i="1"/>
  <c r="T148" i="1"/>
  <c r="AI146" i="1" l="1"/>
  <c r="T149" i="1"/>
  <c r="U148" i="1"/>
  <c r="W147" i="1"/>
  <c r="S148" i="1"/>
  <c r="U149" i="1" l="1"/>
  <c r="T150" i="1"/>
  <c r="S149" i="1"/>
  <c r="W148" i="1"/>
  <c r="AI147" i="1"/>
  <c r="AI148" i="1" l="1"/>
  <c r="U150" i="1"/>
  <c r="T151" i="1"/>
  <c r="S150" i="1"/>
  <c r="W149" i="1"/>
  <c r="AI149" i="1" l="1"/>
  <c r="U151" i="1"/>
  <c r="T152" i="1"/>
  <c r="S151" i="1"/>
  <c r="W150" i="1"/>
  <c r="S152" i="1" l="1"/>
  <c r="W151" i="1"/>
  <c r="AI150" i="1"/>
  <c r="U152" i="1"/>
  <c r="T153" i="1"/>
  <c r="AI151" i="1" l="1"/>
  <c r="U153" i="1"/>
  <c r="T154" i="1"/>
  <c r="S153" i="1"/>
  <c r="W152" i="1"/>
  <c r="S154" i="1" l="1"/>
  <c r="W153" i="1"/>
  <c r="U154" i="1"/>
  <c r="T155" i="1"/>
  <c r="AI152" i="1"/>
  <c r="S155" i="1" l="1"/>
  <c r="W154" i="1"/>
  <c r="AI153" i="1"/>
  <c r="U155" i="1"/>
  <c r="T156" i="1"/>
  <c r="AI154" i="1" l="1"/>
  <c r="T157" i="1"/>
  <c r="U156" i="1"/>
  <c r="S156" i="1"/>
  <c r="W155" i="1"/>
  <c r="U157" i="1" l="1"/>
  <c r="T158" i="1"/>
  <c r="S157" i="1"/>
  <c r="W156" i="1"/>
  <c r="AI155" i="1"/>
  <c r="T159" i="1" l="1"/>
  <c r="U158" i="1"/>
  <c r="W157" i="1"/>
  <c r="S158" i="1"/>
  <c r="AI156" i="1"/>
  <c r="W158" i="1" l="1"/>
  <c r="AI158" i="1" s="1"/>
  <c r="S159" i="1"/>
  <c r="T160" i="1"/>
  <c r="U159" i="1"/>
  <c r="AI157" i="1"/>
  <c r="T161" i="1" l="1"/>
  <c r="U160" i="1"/>
  <c r="S160" i="1"/>
  <c r="W159" i="1"/>
  <c r="AI159" i="1" s="1"/>
  <c r="W160" i="1" l="1"/>
  <c r="AI160" i="1" s="1"/>
  <c r="S161" i="1"/>
  <c r="T162" i="1"/>
  <c r="U161" i="1"/>
  <c r="T163" i="1" l="1"/>
  <c r="U163" i="1" s="1"/>
  <c r="W163" i="1" s="1"/>
  <c r="AI163" i="1" s="1"/>
  <c r="U162" i="1"/>
  <c r="S162" i="1"/>
  <c r="W161" i="1"/>
  <c r="AI161" i="1" s="1"/>
  <c r="S163" i="1" l="1"/>
  <c r="W162" i="1"/>
  <c r="Y163" i="1"/>
  <c r="AJ163" i="1" s="1"/>
  <c r="AL163" i="1" l="1"/>
  <c r="AN163" i="1" s="1"/>
  <c r="AK163" i="1"/>
  <c r="AM163" i="1" s="1"/>
  <c r="AO163" i="1" s="1"/>
  <c r="Y159" i="1"/>
  <c r="AJ159" i="1" s="1"/>
  <c r="AI162" i="1"/>
  <c r="Y139" i="1"/>
  <c r="AJ139" i="1" s="1"/>
  <c r="AL139" i="1" s="1"/>
  <c r="AN139" i="1" s="1"/>
  <c r="Y154" i="1"/>
  <c r="AJ154" i="1" s="1"/>
  <c r="AL154" i="1" s="1"/>
  <c r="AN154" i="1" s="1"/>
  <c r="Y148" i="1"/>
  <c r="AJ148" i="1" s="1"/>
  <c r="AL148" i="1" s="1"/>
  <c r="AN148" i="1" s="1"/>
  <c r="Y138" i="1"/>
  <c r="AJ138" i="1" s="1"/>
  <c r="Y152" i="1"/>
  <c r="AJ152" i="1" s="1"/>
  <c r="AK152" i="1" s="1"/>
  <c r="AM152" i="1" s="1"/>
  <c r="AO152" i="1" s="1"/>
  <c r="Y151" i="1"/>
  <c r="AJ151" i="1" s="1"/>
  <c r="AL151" i="1" s="1"/>
  <c r="AN151" i="1" s="1"/>
  <c r="Y143" i="1"/>
  <c r="AJ143" i="1" s="1"/>
  <c r="AL143" i="1" s="1"/>
  <c r="AN143" i="1" s="1"/>
  <c r="Y160" i="1"/>
  <c r="AJ160" i="1" s="1"/>
  <c r="Y149" i="1"/>
  <c r="AJ149" i="1" s="1"/>
  <c r="AL149" i="1" s="1"/>
  <c r="AN149" i="1" s="1"/>
  <c r="Y147" i="1"/>
  <c r="AJ147" i="1" s="1"/>
  <c r="AK147" i="1" s="1"/>
  <c r="AM147" i="1" s="1"/>
  <c r="AO147" i="1" s="1"/>
  <c r="Y155" i="1"/>
  <c r="AJ155" i="1" s="1"/>
  <c r="AK155" i="1" s="1"/>
  <c r="AM155" i="1" s="1"/>
  <c r="AO155" i="1" s="1"/>
  <c r="Y150" i="1"/>
  <c r="AJ150" i="1" s="1"/>
  <c r="AL150" i="1" s="1"/>
  <c r="AN150" i="1" s="1"/>
  <c r="Y146" i="1"/>
  <c r="AJ146" i="1" s="1"/>
  <c r="AL146" i="1" s="1"/>
  <c r="AN146" i="1" s="1"/>
  <c r="Y144" i="1"/>
  <c r="AJ144" i="1" s="1"/>
  <c r="AL144" i="1" s="1"/>
  <c r="AN144" i="1" s="1"/>
  <c r="Y142" i="1"/>
  <c r="AJ142" i="1" s="1"/>
  <c r="Y141" i="1"/>
  <c r="AJ141" i="1" s="1"/>
  <c r="Y158" i="1"/>
  <c r="AJ158" i="1" s="1"/>
  <c r="Y162" i="1"/>
  <c r="Y153" i="1"/>
  <c r="AJ153" i="1" s="1"/>
  <c r="Y157" i="1"/>
  <c r="AJ157" i="1" s="1"/>
  <c r="Y156" i="1"/>
  <c r="AJ156" i="1" s="1"/>
  <c r="Y145" i="1"/>
  <c r="AJ145" i="1" s="1"/>
  <c r="Y140" i="1"/>
  <c r="AJ140" i="1" s="1"/>
  <c r="Y161" i="1"/>
  <c r="AJ161" i="1" s="1"/>
  <c r="AL158" i="1" l="1"/>
  <c r="AN158" i="1" s="1"/>
  <c r="AK158" i="1"/>
  <c r="AM158" i="1" s="1"/>
  <c r="AO158" i="1" s="1"/>
  <c r="AK161" i="1"/>
  <c r="AM161" i="1" s="1"/>
  <c r="AO161" i="1" s="1"/>
  <c r="AL161" i="1"/>
  <c r="AN161" i="1" s="1"/>
  <c r="AL159" i="1"/>
  <c r="AN159" i="1" s="1"/>
  <c r="AK159" i="1"/>
  <c r="AM159" i="1" s="1"/>
  <c r="AO159" i="1" s="1"/>
  <c r="AK160" i="1"/>
  <c r="AM160" i="1" s="1"/>
  <c r="AO160" i="1" s="1"/>
  <c r="AL160" i="1"/>
  <c r="AN160" i="1" s="1"/>
  <c r="AJ162" i="1"/>
  <c r="AP163" i="1"/>
  <c r="F163" i="1"/>
  <c r="AK154" i="1"/>
  <c r="AM154" i="1" s="1"/>
  <c r="AO154" i="1" s="1"/>
  <c r="Y133" i="1"/>
  <c r="C15" i="1" s="1"/>
  <c r="D10" i="1" s="1"/>
  <c r="AK150" i="1"/>
  <c r="AM150" i="1" s="1"/>
  <c r="AO150" i="1" s="1"/>
  <c r="AK143" i="1"/>
  <c r="AM143" i="1" s="1"/>
  <c r="AO143" i="1" s="1"/>
  <c r="AK148" i="1"/>
  <c r="AM148" i="1" s="1"/>
  <c r="AO148" i="1" s="1"/>
  <c r="AK139" i="1"/>
  <c r="AM139" i="1" s="1"/>
  <c r="AO139" i="1" s="1"/>
  <c r="AK146" i="1"/>
  <c r="AM146" i="1" s="1"/>
  <c r="AO146" i="1" s="1"/>
  <c r="AK149" i="1"/>
  <c r="AM149" i="1" s="1"/>
  <c r="AO149" i="1" s="1"/>
  <c r="AL155" i="1"/>
  <c r="AN155" i="1" s="1"/>
  <c r="AP155" i="1" s="1"/>
  <c r="AK144" i="1"/>
  <c r="AM144" i="1" s="1"/>
  <c r="AO144" i="1" s="1"/>
  <c r="AL152" i="1"/>
  <c r="AN152" i="1" s="1"/>
  <c r="F152" i="1" s="1"/>
  <c r="AL147" i="1"/>
  <c r="AN147" i="1" s="1"/>
  <c r="AP147" i="1" s="1"/>
  <c r="AK151" i="1"/>
  <c r="AM151" i="1" s="1"/>
  <c r="AO151" i="1" s="1"/>
  <c r="AP139" i="1"/>
  <c r="F139" i="1"/>
  <c r="AL141" i="1"/>
  <c r="AN141" i="1" s="1"/>
  <c r="AK141" i="1"/>
  <c r="AM141" i="1" s="1"/>
  <c r="AO141" i="1" s="1"/>
  <c r="AL140" i="1"/>
  <c r="AN140" i="1" s="1"/>
  <c r="AK140" i="1"/>
  <c r="AM140" i="1" s="1"/>
  <c r="AO140" i="1" s="1"/>
  <c r="AK156" i="1"/>
  <c r="AM156" i="1" s="1"/>
  <c r="AO156" i="1" s="1"/>
  <c r="AL156" i="1"/>
  <c r="AN156" i="1" s="1"/>
  <c r="AL142" i="1"/>
  <c r="AN142" i="1" s="1"/>
  <c r="AK142" i="1"/>
  <c r="AM142" i="1" s="1"/>
  <c r="AO142" i="1" s="1"/>
  <c r="F150" i="1"/>
  <c r="AP150" i="1"/>
  <c r="AP143" i="1"/>
  <c r="F143" i="1"/>
  <c r="AP149" i="1"/>
  <c r="F149" i="1"/>
  <c r="AP154" i="1"/>
  <c r="F154" i="1"/>
  <c r="AL145" i="1"/>
  <c r="AN145" i="1" s="1"/>
  <c r="AK145" i="1"/>
  <c r="AM145" i="1" s="1"/>
  <c r="AO145" i="1" s="1"/>
  <c r="AL157" i="1"/>
  <c r="AN157" i="1" s="1"/>
  <c r="AK157" i="1"/>
  <c r="AM157" i="1" s="1"/>
  <c r="AO157" i="1" s="1"/>
  <c r="AL138" i="1"/>
  <c r="AN138" i="1" s="1"/>
  <c r="AK138" i="1"/>
  <c r="AM138" i="1" s="1"/>
  <c r="AO138" i="1" s="1"/>
  <c r="AP151" i="1"/>
  <c r="F151" i="1"/>
  <c r="F148" i="1"/>
  <c r="AP148" i="1"/>
  <c r="F144" i="1"/>
  <c r="AP144" i="1"/>
  <c r="AP146" i="1"/>
  <c r="F146" i="1"/>
  <c r="AL153" i="1"/>
  <c r="AN153" i="1" s="1"/>
  <c r="AK153" i="1"/>
  <c r="AM153" i="1" s="1"/>
  <c r="AO153" i="1" s="1"/>
  <c r="C10" i="1" l="1"/>
  <c r="AP160" i="1"/>
  <c r="F160" i="1"/>
  <c r="AP161" i="1"/>
  <c r="F161" i="1"/>
  <c r="AL162" i="1"/>
  <c r="AN162" i="1" s="1"/>
  <c r="AK162" i="1"/>
  <c r="AM162" i="1" s="1"/>
  <c r="AO162" i="1" s="1"/>
  <c r="AP159" i="1"/>
  <c r="F159" i="1"/>
  <c r="AP158" i="1"/>
  <c r="F158" i="1"/>
  <c r="C5" i="1"/>
  <c r="D3" i="1"/>
  <c r="L54" i="1" s="1"/>
  <c r="C3" i="1"/>
  <c r="F155" i="1"/>
  <c r="AP152" i="1"/>
  <c r="F147" i="1"/>
  <c r="AP138" i="1"/>
  <c r="BC80" i="1" s="1"/>
  <c r="BD80" i="1" s="1"/>
  <c r="F138" i="1"/>
  <c r="F145" i="1"/>
  <c r="AP145" i="1"/>
  <c r="F153" i="1"/>
  <c r="AP153" i="1"/>
  <c r="AP157" i="1"/>
  <c r="F157" i="1"/>
  <c r="AP142" i="1"/>
  <c r="F142" i="1"/>
  <c r="AP156" i="1"/>
  <c r="F156" i="1"/>
  <c r="F141" i="1"/>
  <c r="AP141" i="1"/>
  <c r="AP140" i="1"/>
  <c r="F140" i="1"/>
  <c r="AX195" i="1" l="1"/>
  <c r="AY195" i="1" s="1"/>
  <c r="AX179" i="1"/>
  <c r="AY179" i="1" s="1"/>
  <c r="AX184" i="1"/>
  <c r="AY184" i="1" s="1"/>
  <c r="AX198" i="1"/>
  <c r="AY198" i="1" s="1"/>
  <c r="AX189" i="1"/>
  <c r="AY189" i="1" s="1"/>
  <c r="AX182" i="1"/>
  <c r="AY182" i="1" s="1"/>
  <c r="AX176" i="1"/>
  <c r="AY176" i="1" s="1"/>
  <c r="AX171" i="1"/>
  <c r="AY171" i="1" s="1"/>
  <c r="AX180" i="1"/>
  <c r="AY180" i="1" s="1"/>
  <c r="AX166" i="1"/>
  <c r="AY166" i="1" s="1"/>
  <c r="AX162" i="1"/>
  <c r="AY162" i="1" s="1"/>
  <c r="BR57" i="1"/>
  <c r="D5" i="1"/>
  <c r="CE51" i="1" s="1"/>
  <c r="AX191" i="1"/>
  <c r="AY191" i="1" s="1"/>
  <c r="CP54" i="1"/>
  <c r="AX174" i="1"/>
  <c r="AY174" i="1" s="1"/>
  <c r="AX169" i="1"/>
  <c r="AY169" i="1" s="1"/>
  <c r="AX186" i="1"/>
  <c r="AY186" i="1" s="1"/>
  <c r="AP162" i="1"/>
  <c r="F162" i="1"/>
  <c r="AX192" i="1"/>
  <c r="AY192" i="1" s="1"/>
  <c r="AX193" i="1"/>
  <c r="AY193" i="1" s="1"/>
  <c r="AX185" i="1"/>
  <c r="AY185" i="1" s="1"/>
  <c r="AX170" i="1"/>
  <c r="AY170" i="1" s="1"/>
  <c r="AX175" i="1"/>
  <c r="AY175" i="1" s="1"/>
  <c r="AX190" i="1"/>
  <c r="AY190" i="1" s="1"/>
  <c r="AX163" i="1"/>
  <c r="AY163" i="1" s="1"/>
  <c r="AX164" i="1"/>
  <c r="AY164" i="1" s="1"/>
  <c r="AX181" i="1"/>
  <c r="AY181" i="1" s="1"/>
  <c r="AX172" i="1"/>
  <c r="AY172" i="1" s="1"/>
  <c r="AX178" i="1"/>
  <c r="AY178" i="1" s="1"/>
  <c r="BR54" i="1"/>
  <c r="J14" i="1" s="1"/>
  <c r="AX196" i="1"/>
  <c r="AY196" i="1" s="1"/>
  <c r="AX188" i="1"/>
  <c r="AY188" i="1" s="1"/>
  <c r="AX187" i="1"/>
  <c r="AY187" i="1" s="1"/>
  <c r="AX177" i="1"/>
  <c r="AY177" i="1" s="1"/>
  <c r="CG57" i="1"/>
  <c r="AX183" i="1"/>
  <c r="AY183" i="1" s="1"/>
  <c r="AX165" i="1"/>
  <c r="AY165" i="1" s="1"/>
  <c r="AX168" i="1"/>
  <c r="AY168" i="1" s="1"/>
  <c r="AX167" i="1"/>
  <c r="AY167" i="1" s="1"/>
  <c r="J54" i="1"/>
  <c r="J55" i="1" s="1"/>
  <c r="AX197" i="1"/>
  <c r="AY197" i="1" s="1"/>
  <c r="AX194" i="1"/>
  <c r="AY194" i="1" s="1"/>
  <c r="AX173" i="1"/>
  <c r="AY173" i="1" s="1"/>
  <c r="L55" i="1"/>
  <c r="L6" i="1" l="1"/>
  <c r="L7" i="1" s="1"/>
  <c r="L8" i="1"/>
  <c r="K12" i="1"/>
  <c r="K13" i="1" s="1"/>
  <c r="L14" i="1"/>
  <c r="BB131" i="1"/>
  <c r="D131" i="1" s="1"/>
  <c r="CT131" i="1"/>
  <c r="D134" i="1" s="1"/>
  <c r="BE57" i="1"/>
  <c r="BC57" i="1" s="1"/>
  <c r="BD57" i="1" s="1"/>
  <c r="L12" i="1"/>
  <c r="BG51" i="1"/>
  <c r="BC53" i="1"/>
  <c r="BD53" i="1" s="1"/>
  <c r="BC56" i="1"/>
  <c r="BD56" i="1" s="1"/>
  <c r="M126" i="1"/>
  <c r="J12" i="1"/>
  <c r="J13" i="1" s="1"/>
  <c r="AZ162" i="1"/>
  <c r="K6" i="1" l="1"/>
  <c r="K7" i="1" s="1"/>
  <c r="J8" i="1"/>
  <c r="D133" i="1"/>
  <c r="H23" i="1"/>
  <c r="K24" i="1" s="1"/>
  <c r="H16" i="1"/>
  <c r="K36" i="1" s="1"/>
  <c r="D132" i="1"/>
  <c r="BC50" i="1"/>
  <c r="BD50" i="1" s="1"/>
  <c r="L13" i="1"/>
  <c r="J6" i="1"/>
  <c r="J7" i="1" s="1"/>
  <c r="AZ163" i="1"/>
  <c r="BA162" i="1"/>
  <c r="BG81" i="1" s="1"/>
  <c r="BG82" i="1" s="1"/>
  <c r="BG84" i="1" s="1"/>
  <c r="K30" i="1" l="1"/>
  <c r="K31" i="1" s="1"/>
  <c r="K18" i="1"/>
  <c r="L24" i="1"/>
  <c r="L30" i="1"/>
  <c r="L31" i="1" s="1"/>
  <c r="J18" i="1"/>
  <c r="J19" i="1" s="1"/>
  <c r="J36" i="1"/>
  <c r="BE54" i="1"/>
  <c r="BC54" i="1" s="1"/>
  <c r="BD54" i="1" s="1"/>
  <c r="BE51" i="1"/>
  <c r="BC51" i="1" s="1"/>
  <c r="BD51" i="1" s="1"/>
  <c r="K37" i="1"/>
  <c r="BA163" i="1"/>
  <c r="BH81" i="1" s="1"/>
  <c r="AZ164" i="1"/>
  <c r="K25" i="1"/>
  <c r="K19" i="1" l="1"/>
  <c r="L25" i="1"/>
  <c r="M85" i="1" s="1"/>
  <c r="J37" i="1"/>
  <c r="J126" i="1" s="1"/>
  <c r="BA164" i="1"/>
  <c r="BI81" i="1" s="1"/>
  <c r="AZ165" i="1"/>
  <c r="BI122" i="1"/>
  <c r="BH82" i="1"/>
  <c r="BH84" i="1" s="1"/>
  <c r="BG122" i="1"/>
  <c r="K85" i="1" l="1"/>
  <c r="I126" i="1"/>
  <c r="BA165" i="1"/>
  <c r="BJ81" i="1" s="1"/>
  <c r="AZ166" i="1"/>
  <c r="BI82" i="1"/>
  <c r="BI84" i="1" s="1"/>
  <c r="BG121" i="1"/>
  <c r="BK121" i="1"/>
  <c r="AZ167" i="1" l="1"/>
  <c r="BA166" i="1"/>
  <c r="BK81" i="1" s="1"/>
  <c r="BG120" i="1"/>
  <c r="BM120" i="1"/>
  <c r="BJ82" i="1"/>
  <c r="BJ84" i="1" s="1"/>
  <c r="BO119" i="1" l="1"/>
  <c r="BG119" i="1"/>
  <c r="BK82" i="1"/>
  <c r="BK84" i="1" s="1"/>
  <c r="BA167" i="1"/>
  <c r="BL81" i="1" s="1"/>
  <c r="AZ168" i="1"/>
  <c r="BL82" i="1" l="1"/>
  <c r="BL84" i="1" s="1"/>
  <c r="BG118" i="1"/>
  <c r="BQ118" i="1"/>
  <c r="BQ123" i="1" s="1"/>
  <c r="BQ125" i="1" s="1"/>
  <c r="BA168" i="1"/>
  <c r="BM81" i="1" s="1"/>
  <c r="AZ169" i="1"/>
  <c r="BG117" i="1" l="1"/>
  <c r="BM82" i="1"/>
  <c r="BM84" i="1" s="1"/>
  <c r="BS117" i="1"/>
  <c r="BS123" i="1" s="1"/>
  <c r="BS125" i="1" s="1"/>
  <c r="AZ170" i="1"/>
  <c r="BA169" i="1"/>
  <c r="BN81" i="1" s="1"/>
  <c r="AZ171" i="1" l="1"/>
  <c r="BA170" i="1"/>
  <c r="BO81" i="1" s="1"/>
  <c r="BN82" i="1"/>
  <c r="BN84" i="1" s="1"/>
  <c r="BU116" i="1"/>
  <c r="BU123" i="1" s="1"/>
  <c r="BU125" i="1" s="1"/>
  <c r="BG116" i="1"/>
  <c r="BW115" i="1" l="1"/>
  <c r="BG115" i="1"/>
  <c r="BG123" i="1" s="1"/>
  <c r="BG125" i="1" s="1"/>
  <c r="BO82" i="1"/>
  <c r="BO84" i="1" s="1"/>
  <c r="AZ172" i="1"/>
  <c r="BA171" i="1"/>
  <c r="BP81" i="1" s="1"/>
  <c r="AZ173" i="1" l="1"/>
  <c r="BA172" i="1"/>
  <c r="BQ81" i="1" s="1"/>
  <c r="BW114" i="1"/>
  <c r="BI114" i="1"/>
  <c r="BI123" i="1" s="1"/>
  <c r="BI125" i="1" s="1"/>
  <c r="BP82" i="1"/>
  <c r="BP84" i="1" s="1"/>
  <c r="BK113" i="1" l="1"/>
  <c r="BK123" i="1" s="1"/>
  <c r="BK125" i="1" s="1"/>
  <c r="BW113" i="1"/>
  <c r="BQ82" i="1"/>
  <c r="BQ84" i="1" s="1"/>
  <c r="AZ174" i="1"/>
  <c r="BA173" i="1"/>
  <c r="BR81" i="1" s="1"/>
  <c r="BR82" i="1" l="1"/>
  <c r="BR84" i="1" s="1"/>
  <c r="BW112" i="1"/>
  <c r="BM112" i="1"/>
  <c r="BM123" i="1" s="1"/>
  <c r="BM125" i="1" s="1"/>
  <c r="BA174" i="1"/>
  <c r="BS81" i="1" s="1"/>
  <c r="AZ175" i="1"/>
  <c r="BO111" i="1" l="1"/>
  <c r="BO123" i="1" s="1"/>
  <c r="BO125" i="1" s="1"/>
  <c r="BR77" i="1"/>
  <c r="BW111" i="1"/>
  <c r="BW123" i="1" s="1"/>
  <c r="BW125" i="1" s="1"/>
  <c r="BT77" i="1"/>
  <c r="BS82" i="1"/>
  <c r="BS84" i="1" s="1"/>
  <c r="BA175" i="1"/>
  <c r="BT81" i="1" s="1"/>
  <c r="AZ176" i="1"/>
  <c r="BA176" i="1" l="1"/>
  <c r="BU81" i="1" s="1"/>
  <c r="AZ177" i="1"/>
  <c r="CF110" i="1"/>
  <c r="BR76" i="1"/>
  <c r="BV76" i="1"/>
  <c r="BH110" i="1"/>
  <c r="BH123" i="1" s="1"/>
  <c r="BT82" i="1"/>
  <c r="BT84" i="1" s="1"/>
  <c r="BH125" i="1" l="1"/>
  <c r="AZ178" i="1"/>
  <c r="BA177" i="1"/>
  <c r="BV81" i="1" s="1"/>
  <c r="BX75" i="1"/>
  <c r="BJ109" i="1"/>
  <c r="BJ123" i="1" s="1"/>
  <c r="BJ125" i="1" s="1"/>
  <c r="BR75" i="1"/>
  <c r="CF109" i="1"/>
  <c r="BU82" i="1"/>
  <c r="BU84" i="1" s="1"/>
  <c r="BV82" i="1" l="1"/>
  <c r="BV84" i="1" s="1"/>
  <c r="BR74" i="1"/>
  <c r="CF108" i="1"/>
  <c r="BL108" i="1"/>
  <c r="BL123" i="1" s="1"/>
  <c r="BL125" i="1" s="1"/>
  <c r="BZ74" i="1"/>
  <c r="BA178" i="1"/>
  <c r="BW81" i="1" s="1"/>
  <c r="AZ179" i="1"/>
  <c r="AZ180" i="1" l="1"/>
  <c r="BA179" i="1"/>
  <c r="BX81" i="1" s="1"/>
  <c r="BR73" i="1"/>
  <c r="BW82" i="1"/>
  <c r="BW84" i="1" s="1"/>
  <c r="CF107" i="1"/>
  <c r="BN107" i="1"/>
  <c r="BN123" i="1" s="1"/>
  <c r="CB73" i="1"/>
  <c r="CD72" i="1" l="1"/>
  <c r="CF106" i="1"/>
  <c r="BR72" i="1"/>
  <c r="BX82" i="1"/>
  <c r="BX84" i="1" s="1"/>
  <c r="BP106" i="1"/>
  <c r="BP123" i="1" s="1"/>
  <c r="BP125" i="1" s="1"/>
  <c r="BN125" i="1"/>
  <c r="BA180" i="1"/>
  <c r="BY81" i="1" s="1"/>
  <c r="AZ181" i="1"/>
  <c r="CF71" i="1" l="1"/>
  <c r="BR105" i="1"/>
  <c r="BY82" i="1"/>
  <c r="BY84" i="1" s="1"/>
  <c r="BR71" i="1"/>
  <c r="CF105" i="1"/>
  <c r="CF123" i="1" s="1"/>
  <c r="CF125" i="1" s="1"/>
  <c r="K131" i="1" s="1"/>
  <c r="H42" i="1"/>
  <c r="H43" i="1" s="1"/>
  <c r="BA181" i="1"/>
  <c r="BZ81" i="1" s="1"/>
  <c r="AZ182" i="1"/>
  <c r="AZ183" i="1" l="1"/>
  <c r="BA182" i="1"/>
  <c r="CA81" i="1" s="1"/>
  <c r="BR70" i="1"/>
  <c r="BR79" i="1" s="1"/>
  <c r="BR104" i="1"/>
  <c r="CH104" i="1"/>
  <c r="CH123" i="1" s="1"/>
  <c r="CH125" i="1" s="1"/>
  <c r="BZ82" i="1"/>
  <c r="BZ84" i="1" s="1"/>
  <c r="CH70" i="1"/>
  <c r="J42" i="1"/>
  <c r="K42" i="1"/>
  <c r="J43" i="1" l="1"/>
  <c r="CH69" i="1"/>
  <c r="CJ103" i="1"/>
  <c r="CJ123" i="1" s="1"/>
  <c r="CJ125" i="1" s="1"/>
  <c r="BR103" i="1"/>
  <c r="BT69" i="1"/>
  <c r="BT79" i="1" s="1"/>
  <c r="CA82" i="1"/>
  <c r="CA84" i="1" s="1"/>
  <c r="K43" i="1"/>
  <c r="BA183" i="1"/>
  <c r="CB81" i="1" s="1"/>
  <c r="AZ184" i="1"/>
  <c r="BA184" i="1" l="1"/>
  <c r="CC81" i="1" s="1"/>
  <c r="AZ185" i="1"/>
  <c r="CH68" i="1"/>
  <c r="CB82" i="1"/>
  <c r="CB84" i="1" s="1"/>
  <c r="CL102" i="1"/>
  <c r="CL123" i="1" s="1"/>
  <c r="CL125" i="1" s="1"/>
  <c r="BV68" i="1"/>
  <c r="BV79" i="1" s="1"/>
  <c r="BR102" i="1"/>
  <c r="K126" i="1"/>
  <c r="K132" i="1" s="1"/>
  <c r="AZ186" i="1" l="1"/>
  <c r="BA185" i="1"/>
  <c r="CD81" i="1" s="1"/>
  <c r="CC82" i="1"/>
  <c r="CC84" i="1" s="1"/>
  <c r="CN101" i="1"/>
  <c r="CN123" i="1" s="1"/>
  <c r="CN125" i="1" s="1"/>
  <c r="BR101" i="1"/>
  <c r="CH67" i="1"/>
  <c r="BX67" i="1"/>
  <c r="BX79" i="1" s="1"/>
  <c r="CD82" i="1" l="1"/>
  <c r="CD84" i="1" s="1"/>
  <c r="CH66" i="1"/>
  <c r="BR100" i="1"/>
  <c r="BR123" i="1" s="1"/>
  <c r="BZ66" i="1"/>
  <c r="BZ79" i="1" s="1"/>
  <c r="CP100" i="1"/>
  <c r="CP123" i="1" s="1"/>
  <c r="CP125" i="1" s="1"/>
  <c r="BA186" i="1"/>
  <c r="CE81" i="1" s="1"/>
  <c r="AZ187" i="1"/>
  <c r="BA187" i="1" l="1"/>
  <c r="CF81" i="1" s="1"/>
  <c r="AZ188" i="1"/>
  <c r="J131" i="1"/>
  <c r="J132" i="1" s="1"/>
  <c r="BR125" i="1"/>
  <c r="M131" i="1" s="1"/>
  <c r="M132" i="1" s="1"/>
  <c r="CA99" i="1"/>
  <c r="CE82" i="1"/>
  <c r="CE84" i="1" s="1"/>
  <c r="CI99" i="1"/>
  <c r="CB65" i="1"/>
  <c r="CB79" i="1" s="1"/>
  <c r="CH65" i="1"/>
  <c r="AZ189" i="1" l="1"/>
  <c r="BA188" i="1"/>
  <c r="CG81" i="1" s="1"/>
  <c r="CH64" i="1"/>
  <c r="CD64" i="1"/>
  <c r="CD79" i="1" s="1"/>
  <c r="CA98" i="1"/>
  <c r="CF82" i="1"/>
  <c r="CF84" i="1" s="1"/>
  <c r="CK98" i="1"/>
  <c r="CH63" i="1" l="1"/>
  <c r="CH79" i="1" s="1"/>
  <c r="CG82" i="1"/>
  <c r="CG84" i="1" s="1"/>
  <c r="CF63" i="1"/>
  <c r="CF79" i="1" s="1"/>
  <c r="CA97" i="1"/>
  <c r="CM97" i="1"/>
  <c r="AZ190" i="1"/>
  <c r="BA189" i="1"/>
  <c r="CH81" i="1" s="1"/>
  <c r="CH82" i="1" l="1"/>
  <c r="CH84" i="1" s="1"/>
  <c r="CO96" i="1"/>
  <c r="CA96" i="1"/>
  <c r="BA190" i="1"/>
  <c r="CI81" i="1" s="1"/>
  <c r="AZ191" i="1"/>
  <c r="CQ95" i="1" l="1"/>
  <c r="CI82" i="1"/>
  <c r="CI84" i="1" s="1"/>
  <c r="CA95" i="1"/>
  <c r="CA123" i="1" s="1"/>
  <c r="CA125" i="1" s="1"/>
  <c r="AZ192" i="1"/>
  <c r="BA191" i="1"/>
  <c r="CJ81" i="1" s="1"/>
  <c r="AZ193" i="1" l="1"/>
  <c r="BA192" i="1"/>
  <c r="CK81" i="1" s="1"/>
  <c r="CC94" i="1"/>
  <c r="CC123" i="1" s="1"/>
  <c r="CC125" i="1" s="1"/>
  <c r="CJ82" i="1"/>
  <c r="CJ84" i="1" s="1"/>
  <c r="CQ94" i="1"/>
  <c r="CK82" i="1" l="1"/>
  <c r="CK84" i="1" s="1"/>
  <c r="CE93" i="1"/>
  <c r="CE123" i="1" s="1"/>
  <c r="CE125" i="1" s="1"/>
  <c r="CQ93" i="1"/>
  <c r="BA193" i="1"/>
  <c r="CL81" i="1" s="1"/>
  <c r="AZ194" i="1"/>
  <c r="CQ92" i="1" l="1"/>
  <c r="CG92" i="1"/>
  <c r="CG123" i="1" s="1"/>
  <c r="CL82" i="1"/>
  <c r="CL84" i="1" s="1"/>
  <c r="AZ195" i="1"/>
  <c r="BA194" i="1"/>
  <c r="CM81" i="1" s="1"/>
  <c r="CG125" i="1" l="1"/>
  <c r="AZ196" i="1"/>
  <c r="BA195" i="1"/>
  <c r="CN81" i="1" s="1"/>
  <c r="CM82" i="1"/>
  <c r="CM84" i="1" s="1"/>
  <c r="CI91" i="1"/>
  <c r="CI123" i="1" s="1"/>
  <c r="CQ91" i="1"/>
  <c r="CQ90" i="1" l="1"/>
  <c r="CN82" i="1"/>
  <c r="CN84" i="1" s="1"/>
  <c r="CK90" i="1"/>
  <c r="CK123" i="1" s="1"/>
  <c r="CK125" i="1" s="1"/>
  <c r="BA196" i="1"/>
  <c r="CO81" i="1" s="1"/>
  <c r="AZ197" i="1"/>
  <c r="CI125" i="1"/>
  <c r="CQ89" i="1" l="1"/>
  <c r="CO82" i="1"/>
  <c r="CO84" i="1" s="1"/>
  <c r="CM89" i="1"/>
  <c r="CM123" i="1" s="1"/>
  <c r="BA197" i="1"/>
  <c r="CP81" i="1" s="1"/>
  <c r="AZ198" i="1"/>
  <c r="BA198" i="1" s="1"/>
  <c r="CQ81" i="1" s="1"/>
  <c r="CQ82" i="1" s="1"/>
  <c r="CQ84" i="1" s="1"/>
  <c r="CO88" i="1" l="1"/>
  <c r="CO123" i="1" s="1"/>
  <c r="CO125" i="1" s="1"/>
  <c r="CP82" i="1"/>
  <c r="CP84" i="1" s="1"/>
  <c r="BE85" i="1" s="1"/>
  <c r="BC85" i="1" s="1"/>
  <c r="BD85" i="1" s="1"/>
  <c r="CQ88" i="1"/>
  <c r="CQ123" i="1" s="1"/>
  <c r="CQ125" i="1" s="1"/>
  <c r="CM125" i="1"/>
  <c r="I131" i="1" l="1"/>
  <c r="I132" i="1" s="1"/>
  <c r="H47" i="1"/>
  <c r="H48" i="1" s="1"/>
  <c r="K48" i="1" s="1"/>
  <c r="L131" i="1"/>
  <c r="L48" i="1" l="1"/>
  <c r="L49" i="1" s="1"/>
  <c r="K49" i="1"/>
  <c r="L126" i="1" l="1"/>
  <c r="L132" i="1" s="1"/>
  <c r="BE126" i="1" s="1"/>
  <c r="BC126" i="1" s="1"/>
  <c r="BD126" i="1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0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0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С EXBAR в средата</t>
        </r>
      </text>
    </comment>
    <comment ref="E2" authorId="0" shapeId="0" xr:uid="{00000000-0006-0000-00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0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0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0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0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0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0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0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000-00000B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2x5800- отпред на ViRAY
8000-  FRONT OF FR VR(FR AR)</t>
        </r>
      </text>
    </comment>
    <comment ref="D7" authorId="0" shapeId="0" xr:uid="{00000000-0006-0000-0000-00000C000000}">
      <text>
        <r>
          <rPr>
            <b/>
            <sz val="16"/>
            <color indexed="81"/>
            <rFont val="Tahoma"/>
            <family val="2"/>
          </rPr>
          <t>10 000 кг  ViRAY(CiRAY) задно</t>
        </r>
      </text>
    </comment>
    <comment ref="E8" authorId="0" shapeId="0" xr:uid="{00000000-0006-0000-0000-00000D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C12" authorId="0" shapeId="0" xr:uid="{00000000-0006-0000-0000-00000E000000}">
      <text>
        <r>
          <rPr>
            <b/>
            <sz val="12"/>
            <color indexed="81"/>
            <rFont val="Tahoma"/>
            <family val="2"/>
          </rPr>
          <t>общо тегло 
кутии+exbar+кабели</t>
        </r>
      </text>
    </comment>
    <comment ref="C13" authorId="0" shapeId="0" xr:uid="{00000000-0006-0000-0000-00000F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CiRAY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Y133" authorId="0" shapeId="0" xr:uid="{00000000-0006-0000-0000-000010000000}">
      <text>
        <r>
          <rPr>
            <b/>
            <sz val="9"/>
            <color indexed="81"/>
            <rFont val="Tahoma"/>
            <family val="2"/>
            <charset val="204"/>
          </rPr>
          <t>Stanislav:</t>
        </r>
        <r>
          <rPr>
            <sz val="9"/>
            <color indexed="81"/>
            <rFont val="Tahoma"/>
            <family val="2"/>
            <charset val="204"/>
          </rPr>
          <t xml:space="preserve">
31 - тегло на FR AR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1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1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С EXBAR в средата</t>
        </r>
      </text>
    </comment>
    <comment ref="E2" authorId="0" shapeId="0" xr:uid="{00000000-0006-0000-01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1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1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1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1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1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1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1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100-00000B000000}">
      <text>
        <r>
          <rPr>
            <b/>
            <sz val="12"/>
            <color indexed="81"/>
            <rFont val="Tahoma"/>
            <family val="2"/>
          </rPr>
          <t>Stanislav:</t>
        </r>
        <r>
          <rPr>
            <sz val="12"/>
            <color indexed="81"/>
            <rFont val="Tahoma"/>
            <family val="2"/>
          </rPr>
          <t xml:space="preserve">
2x5800- отпред на ViRAY
8000-  FRONT OF FR VR</t>
        </r>
      </text>
    </comment>
    <comment ref="D7" authorId="0" shapeId="0" xr:uid="{00000000-0006-0000-0100-00000C000000}">
      <text>
        <r>
          <rPr>
            <b/>
            <sz val="16"/>
            <color indexed="81"/>
            <rFont val="Tahoma"/>
            <family val="2"/>
          </rPr>
          <t>10 000 кг  ViRAY задно</t>
        </r>
      </text>
    </comment>
    <comment ref="E8" authorId="0" shapeId="0" xr:uid="{00000000-0006-0000-0100-00000D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C12" authorId="0" shapeId="0" xr:uid="{00000000-0006-0000-0100-00000E000000}">
      <text>
        <r>
          <rPr>
            <b/>
            <sz val="12"/>
            <color indexed="81"/>
            <rFont val="Tahoma"/>
            <family val="2"/>
          </rPr>
          <t>общо тегло 
кутии+exbar+кабели</t>
        </r>
      </text>
    </comment>
    <comment ref="C13" authorId="0" shapeId="0" xr:uid="{00000000-0006-0000-0100-00000F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CiRAY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2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2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2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2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2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2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2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2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2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2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2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2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2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AR</t>
        </r>
      </text>
    </comment>
    <comment ref="C12" authorId="0" shapeId="0" xr:uid="{00000000-0006-0000-02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200-00000F000000}">
      <text>
        <r>
          <rPr>
            <sz val="14"/>
            <color indexed="81"/>
            <rFont val="Tahoma"/>
            <family val="2"/>
          </rPr>
          <t>тегло на системаат  CiRAY + FR AR</t>
        </r>
      </text>
    </comment>
    <comment ref="C15" authorId="0" shapeId="0" xr:uid="{00000000-0006-0000-02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CiRAY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2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N169" authorId="0" shapeId="0" xr:uid="{00000000-0006-0000-0200-000012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491.5- расстояние между горната и долната точка на SC 2F
119- височина на FR AR
смята се от върха на най- горния фрейм- така изчисленията съвпадат с ease focus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3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3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3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3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3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3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3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3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3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3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3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3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3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SC2 F системата =SC2 F+ FR AR</t>
        </r>
      </text>
    </comment>
    <comment ref="C12" authorId="0" shapeId="0" xr:uid="{00000000-0006-0000-03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SC2 F</t>
        </r>
      </text>
    </comment>
    <comment ref="C14" authorId="0" shapeId="0" xr:uid="{00000000-0006-0000-0300-00000F000000}">
      <text>
        <r>
          <rPr>
            <sz val="14"/>
            <color indexed="81"/>
            <rFont val="Tahoma"/>
            <family val="2"/>
          </rPr>
          <t>тегло на системаат  CiRAY + FR AR</t>
        </r>
      </text>
    </comment>
    <comment ref="C15" authorId="0" shapeId="0" xr:uid="{00000000-0006-0000-03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CiRAY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3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N170" authorId="0" shapeId="0" xr:uid="{00000000-0006-0000-0300-000012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491.5- расстояние между горната и долната точка на SC 2F
119- височина на FR AR
смята се от върха на най- горния фрейм- така изчисленията съвпадат с ease focus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4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4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4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4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4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4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4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4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4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4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4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AR + ADS</t>
        </r>
      </text>
    </comment>
    <comment ref="C9" authorId="0" shapeId="0" xr:uid="{00000000-0006-0000-04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4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AR</t>
        </r>
      </text>
    </comment>
    <comment ref="C12" authorId="0" shapeId="0" xr:uid="{00000000-0006-0000-04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5" authorId="0" shapeId="0" xr:uid="{00000000-0006-0000-0400-00000F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400-000010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O170" authorId="0" shapeId="0" xr:uid="{00000000-0006-0000-0400-000011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  <comment ref="C178" authorId="0" shapeId="0" xr:uid="{00000000-0006-0000-0400-000012000000}">
      <text>
        <r>
          <rPr>
            <b/>
            <sz val="14"/>
            <color indexed="81"/>
            <rFont val="Tahoma"/>
            <family val="2"/>
          </rPr>
          <t>формулат ае различна за 2 системи които се огъват</t>
        </r>
      </text>
    </comment>
    <comment ref="AO195" authorId="0" shapeId="0" xr:uid="{00000000-0006-0000-0400-000013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5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5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5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5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5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5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5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5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5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5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5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AR + ADS</t>
        </r>
      </text>
    </comment>
    <comment ref="C9" authorId="0" shapeId="0" xr:uid="{00000000-0006-0000-05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5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SC2 F системата SC2 F
+ FR AR</t>
        </r>
      </text>
    </comment>
    <comment ref="C12" authorId="0" shapeId="0" xr:uid="{00000000-0006-0000-05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5" authorId="0" shapeId="0" xr:uid="{00000000-0006-0000-0500-00000F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AiRAY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6" authorId="0" shapeId="0" xr:uid="{00000000-0006-0000-0500-000010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E20" authorId="0" shapeId="0" xr:uid="{00000000-0006-0000-05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  <comment ref="AO170" authorId="0" shapeId="0" xr:uid="{00000000-0006-0000-0500-000012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  <comment ref="C177" authorId="0" shapeId="0" xr:uid="{00000000-0006-0000-0500-000013000000}">
      <text>
        <r>
          <rPr>
            <b/>
            <sz val="14"/>
            <color indexed="81"/>
            <rFont val="Tahoma"/>
            <family val="2"/>
          </rPr>
          <t>формулат ае различна за 2 системи които се огъват</t>
        </r>
      </text>
    </comment>
    <comment ref="AO194" authorId="0" shapeId="0" xr:uid="{00000000-0006-0000-0500-000014000000}">
      <text>
        <r>
          <rPr>
            <b/>
            <sz val="14"/>
            <color indexed="81"/>
            <rFont val="Tahoma"/>
            <family val="2"/>
            <charset val="204"/>
          </rPr>
          <t>Stanislav:</t>
        </r>
        <r>
          <rPr>
            <sz val="14"/>
            <color indexed="81"/>
            <rFont val="Tahoma"/>
            <family val="2"/>
            <charset val="204"/>
          </rPr>
          <t xml:space="preserve">
358.6 - расстояние между горната и долната точка на AiRAY
119- височина на FR AR
смята се от върха на най- горния фрейм- така изчисленията съвпадат с ease focus</t>
        </r>
      </text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6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6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6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6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6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6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6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6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6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6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6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6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6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2" authorId="0" shapeId="0" xr:uid="{00000000-0006-0000-06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4" authorId="0" shapeId="0" xr:uid="{00000000-0006-0000-0600-00000F000000}">
      <text>
        <r>
          <rPr>
            <sz val="14"/>
            <color indexed="81"/>
            <rFont val="Tahoma"/>
            <family val="2"/>
          </rPr>
          <t>тегло на системаат  ViRAY + FR VF</t>
        </r>
      </text>
    </comment>
    <comment ref="C15" authorId="0" shapeId="0" xr:uid="{00000000-0006-0000-0600-000010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CiRAY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600-000011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</commentList>
</comments>
</file>

<file path=xl/comments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7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7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7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7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7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7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7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7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7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7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  <comment ref="C7" authorId="0" shapeId="0" xr:uid="{00000000-0006-0000-0700-00000B000000}">
      <text>
        <r>
          <rPr>
            <b/>
            <sz val="14"/>
            <color indexed="81"/>
            <rFont val="Tahoma"/>
            <family val="2"/>
          </rPr>
          <t>тегло на цялата система + кабели + EXBAR VR</t>
        </r>
      </text>
    </comment>
    <comment ref="C9" authorId="0" shapeId="0" xr:uid="{00000000-0006-0000-0700-00000C000000}">
      <text>
        <r>
          <rPr>
            <b/>
            <sz val="14"/>
            <color indexed="81"/>
            <rFont val="Tahoma"/>
            <family val="2"/>
          </rPr>
          <t>център на тежест на системата спрямо предната точка на окачване</t>
        </r>
      </text>
    </comment>
    <comment ref="C11" authorId="0" shapeId="0" xr:uid="{00000000-0006-0000-0700-00000D000000}">
      <text>
        <r>
          <rPr>
            <b/>
            <sz val="14"/>
            <color indexed="81"/>
            <rFont val="Tahoma"/>
            <family val="2"/>
          </rPr>
          <t>Stanislav:</t>
        </r>
        <r>
          <rPr>
            <sz val="14"/>
            <color indexed="81"/>
            <rFont val="Tahoma"/>
            <family val="2"/>
          </rPr>
          <t xml:space="preserve">
тегло на SCV F системата SCV F
+ FR VR</t>
        </r>
      </text>
    </comment>
    <comment ref="C12" authorId="0" shapeId="0" xr:uid="{00000000-0006-0000-0700-00000E000000}">
      <text>
        <r>
          <rPr>
            <b/>
            <sz val="14"/>
            <color indexed="81"/>
            <rFont val="Tahoma"/>
            <family val="2"/>
          </rPr>
          <t>разстояние между предното и задното окачване на SCV F</t>
        </r>
      </text>
    </comment>
    <comment ref="C15" authorId="0" shapeId="0" xr:uid="{00000000-0006-0000-0700-00000F000000}">
      <text>
        <r>
          <rPr>
            <sz val="12"/>
            <color indexed="81"/>
            <rFont val="Tahoma"/>
            <family val="2"/>
          </rPr>
          <t>разстояние  между точките на предното и задното окачване CiRAY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00000000-0006-0000-0700-000010000000}">
      <text>
        <r>
          <rPr>
            <b/>
            <sz val="12"/>
            <color indexed="81"/>
            <rFont val="Tahoma"/>
            <family val="2"/>
            <charset val="204"/>
          </rPr>
          <t>Stanislav:с един шегел в средата</t>
        </r>
      </text>
    </comment>
  </commentList>
</comments>
</file>

<file path=xl/comments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Stanislav</author>
  </authors>
  <commentList>
    <comment ref="C2" authorId="0" shapeId="0" xr:uid="{00000000-0006-0000-0800-000001000000}">
      <text>
        <r>
          <rPr>
            <b/>
            <sz val="11"/>
            <color indexed="81"/>
            <rFont val="Tahoma"/>
            <family val="2"/>
          </rPr>
          <t>Stanislav:</t>
        </r>
        <r>
          <rPr>
            <sz val="11"/>
            <color indexed="81"/>
            <rFont val="Tahoma"/>
            <family val="2"/>
          </rPr>
          <t xml:space="preserve">
</t>
        </r>
        <r>
          <rPr>
            <sz val="18"/>
            <color indexed="81"/>
            <rFont val="Tahoma"/>
            <family val="2"/>
            <charset val="204"/>
          </rPr>
          <t xml:space="preserve">разстояние между двата крайни отвора на FR AR с ЕXBAR в средата  </t>
        </r>
      </text>
    </comment>
    <comment ref="D2" authorId="0" shapeId="0" xr:uid="{00000000-0006-0000-0800-000002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фрейм.
Без EXBARS.</t>
        </r>
      </text>
    </comment>
    <comment ref="E2" authorId="0" shapeId="0" xr:uid="{00000000-0006-0000-0800-000003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два  отвора на EXBAR AR- 43mm</t>
        </r>
      </text>
    </comment>
    <comment ref="F2" authorId="0" shapeId="0" xr:uid="{00000000-0006-0000-0800-000004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проектитрано разстояние между първия отвор на фрейма и началото на координатната система в която смята центъра на тежеста.
72.9699970°, 162.1867 константи за FR AR</t>
        </r>
      </text>
    </comment>
    <comment ref="C3" authorId="0" shapeId="0" xr:uid="{00000000-0006-0000-0800-000005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</t>
        </r>
      </text>
    </comment>
    <comment ref="D3" authorId="0" shapeId="0" xr:uid="{00000000-0006-0000-0800-000006000000}">
      <text>
        <r>
          <rPr>
            <sz val="12"/>
            <color indexed="81"/>
            <rFont val="Tahoma"/>
            <family val="2"/>
          </rPr>
          <t>разстояние от центъра на тежеста на системата до първия отвор за шегел при накланяне на фрейма.
Това разстояние се ползва за пресмятане на силите при EXBAR ОТЗАД!</t>
        </r>
      </text>
    </comment>
    <comment ref="C4" authorId="0" shapeId="0" xr:uid="{00000000-0006-0000-0800-000007000000}">
      <text>
        <r>
          <rPr>
            <sz val="12"/>
            <color indexed="81"/>
            <rFont val="Tahoma"/>
            <family val="2"/>
          </rPr>
          <t>разстояние от първия отвор на EXBAR AR до последния отвор на FR AR (ADS)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" authorId="0" shapeId="0" xr:uid="{00000000-0006-0000-0800-000008000000}">
      <text>
        <r>
          <rPr>
            <b/>
            <sz val="12"/>
            <color indexed="81"/>
            <rFont val="Tahoma"/>
            <family val="2"/>
            <charset val="204"/>
          </rPr>
          <t>Stanislav:</t>
        </r>
        <r>
          <rPr>
            <sz val="12"/>
            <color indexed="81"/>
            <rFont val="Tahoma"/>
            <family val="2"/>
            <charset val="204"/>
          </rPr>
          <t xml:space="preserve">
разстояние между  крайните отвори на наклонения фрейм+ EXBAR</t>
        </r>
      </text>
    </comment>
    <comment ref="C5" authorId="0" shapeId="0" xr:uid="{00000000-0006-0000-0800-000009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AR</t>
        </r>
      </text>
    </comment>
    <comment ref="D5" authorId="0" shapeId="0" xr:uid="{00000000-0006-0000-0800-00000A000000}">
      <text>
        <r>
          <rPr>
            <b/>
            <sz val="12"/>
            <color indexed="81"/>
            <rFont val="Tahoma"/>
            <family val="2"/>
          </rPr>
          <t>разтояние на центъра на тежеста на системат до първия отвор на EXBAR VR , който е отпред ПРИ НАКЛОНЕНА СИ-МА
 473мм</t>
        </r>
      </text>
    </comment>
  </commentList>
</comments>
</file>

<file path=xl/sharedStrings.xml><?xml version="1.0" encoding="utf-8"?>
<sst xmlns="http://schemas.openxmlformats.org/spreadsheetml/2006/main" count="2825" uniqueCount="322">
  <si>
    <t>b</t>
  </si>
  <si>
    <t>k</t>
  </si>
  <si>
    <t>b/2</t>
  </si>
  <si>
    <t>sin b/2</t>
  </si>
  <si>
    <t>d</t>
  </si>
  <si>
    <t>2c</t>
  </si>
  <si>
    <t>e=a/2</t>
  </si>
  <si>
    <t>sin(e)</t>
  </si>
  <si>
    <t>c=sin(b/2)*d</t>
  </si>
  <si>
    <t>f=sin(e)*2c</t>
  </si>
  <si>
    <t>g center of  mass -x</t>
  </si>
  <si>
    <t>h=g+f</t>
  </si>
  <si>
    <t>center of mass X</t>
  </si>
  <si>
    <t>a-angle</t>
  </si>
  <si>
    <t>a</t>
  </si>
  <si>
    <t>kg</t>
  </si>
  <si>
    <t xml:space="preserve">G </t>
  </si>
  <si>
    <t xml:space="preserve">L </t>
  </si>
  <si>
    <t>Fa=((L-a)/L)*G</t>
  </si>
  <si>
    <t>Fb=(a/L)*G</t>
  </si>
  <si>
    <t>enter the value of a-angle</t>
  </si>
  <si>
    <t>front</t>
  </si>
  <si>
    <t>rear</t>
  </si>
  <si>
    <t>Weight total:</t>
  </si>
  <si>
    <t>L(2motors)=</t>
  </si>
  <si>
    <t>2 motors, kg</t>
  </si>
  <si>
    <t>front motor</t>
  </si>
  <si>
    <t>rear motor</t>
  </si>
  <si>
    <t>enter the number of cabinets from 1 up to 12</t>
  </si>
  <si>
    <t>a - общ ъгъл</t>
  </si>
  <si>
    <t>sin t</t>
  </si>
  <si>
    <t>m= sin t *n(const)</t>
  </si>
  <si>
    <t>sin r</t>
  </si>
  <si>
    <t>p= sin r *q(const)</t>
  </si>
  <si>
    <t xml:space="preserve">g - тегло на боксожете под тази </t>
  </si>
  <si>
    <t>L=m+n</t>
  </si>
  <si>
    <t>z- център на тежест на боксовете след него спрямо първата колона</t>
  </si>
  <si>
    <t>J=x-p</t>
  </si>
  <si>
    <t>A=z-J</t>
  </si>
  <si>
    <t>Fa=((L-A)/L)*G</t>
  </si>
  <si>
    <t>Fb=(A/L)*G</t>
  </si>
  <si>
    <t>от тук на долу, ако AJ е отрицателно стойността на клетката да е 0.3, ако е положително да е нула</t>
  </si>
  <si>
    <t>синьо</t>
  </si>
  <si>
    <t>the real angle between the cabinets when pining in the groundstacking hole</t>
  </si>
  <si>
    <t>L=m+p</t>
  </si>
  <si>
    <t xml:space="preserve">x= (SUM Gi*xi)/G
</t>
  </si>
  <si>
    <t>k - safety factor</t>
  </si>
  <si>
    <t>ViRAY</t>
  </si>
  <si>
    <t>from 0 to 10</t>
  </si>
  <si>
    <t>G,kg</t>
  </si>
  <si>
    <t>L,mm</t>
  </si>
  <si>
    <t>a,mm</t>
  </si>
  <si>
    <t>center  om mass от R напред</t>
  </si>
  <si>
    <t>center  om mass от А назад</t>
  </si>
  <si>
    <t>t= 69.34-a</t>
  </si>
  <si>
    <t>r= 50.17+a</t>
  </si>
  <si>
    <t>G , SCV F</t>
  </si>
  <si>
    <t>L , SCV F</t>
  </si>
  <si>
    <t>kg.</t>
  </si>
  <si>
    <t>SCV F</t>
  </si>
  <si>
    <t>x ViRAY</t>
  </si>
  <si>
    <t>t= 54.501+a</t>
  </si>
  <si>
    <t>r= 58.73-a</t>
  </si>
  <si>
    <t>A ViRAY+SCV F =x-J</t>
  </si>
  <si>
    <t>J=x-m</t>
  </si>
  <si>
    <t>b=k+a</t>
  </si>
  <si>
    <t>destroying force VR VR</t>
  </si>
  <si>
    <t>destroying force   SC VF, kg</t>
  </si>
  <si>
    <t>destroying force, kg ViRAY</t>
  </si>
  <si>
    <t>destroying force, kg SCV F</t>
  </si>
  <si>
    <t>destroying force, kg FR VR</t>
  </si>
  <si>
    <t>ОБЩ ЪГЪЛ</t>
  </si>
  <si>
    <t>enter 0 or 2.5 or 5</t>
  </si>
  <si>
    <t>x la 12</t>
  </si>
  <si>
    <t>x la 8</t>
  </si>
  <si>
    <t>destroying force FR VR</t>
  </si>
  <si>
    <t>n</t>
  </si>
  <si>
    <t>kn</t>
  </si>
  <si>
    <t>kn-a</t>
  </si>
  <si>
    <t>cos(kn-a)</t>
  </si>
  <si>
    <t>x=cos(kn-a)*n</t>
  </si>
  <si>
    <t>h=x</t>
  </si>
  <si>
    <t>пресмятане на отместването  на център на тежеста на следващата система(за да се сумират двете системи)</t>
  </si>
  <si>
    <t>ъгъл</t>
  </si>
  <si>
    <t>j=cosv*n</t>
  </si>
  <si>
    <t>q=z-j</t>
  </si>
  <si>
    <t>v, SC VF</t>
  </si>
  <si>
    <t>n SC VF</t>
  </si>
  <si>
    <t>най-долната колона</t>
  </si>
  <si>
    <t>j=cosv*d</t>
  </si>
  <si>
    <t>z- център на тежест на боксовете след него спрямо първата колона от горния array(началото на ккординатната система)</t>
  </si>
  <si>
    <t>z- център на тежест на боксовете след него спрямо първата колона от най -горния array(началото на ккординатната система)</t>
  </si>
  <si>
    <t>координата на предната точка на последната колона;
пресмятане на отместването  на център на тежеста на следващата система(за да се сумират двете системи)</t>
  </si>
  <si>
    <t>Lx</t>
  </si>
  <si>
    <t>Lo</t>
  </si>
  <si>
    <t>Ao</t>
  </si>
  <si>
    <t>r= 59.2910 -a</t>
  </si>
  <si>
    <t>t= 53.7795950°+a</t>
  </si>
  <si>
    <t>SC2 F</t>
  </si>
  <si>
    <t>n SC 2F</t>
  </si>
  <si>
    <t>v, SC 2F</t>
  </si>
  <si>
    <t>G , SC2 F</t>
  </si>
  <si>
    <t>a(2motors)=a1-47.5</t>
  </si>
  <si>
    <t>L(2motors) 
with exbar in front or at the back and ADS</t>
  </si>
  <si>
    <t>a(2motors)with 
exbar in front =a+425.5</t>
  </si>
  <si>
    <t>enter the angle of frame FR AR</t>
  </si>
  <si>
    <t>from -2 to 4</t>
  </si>
  <si>
    <t>пресмятане на разстоянието между центъра на тежеста спрямо първия отвор за шегел на фрейма</t>
  </si>
  <si>
    <t>with EXBAR AR in the middle</t>
  </si>
  <si>
    <t>1 motor -2 points
with EXBAR АR and ADS</t>
  </si>
  <si>
    <t>1 motor- 2 points
with EXBAR AR in the middle</t>
  </si>
  <si>
    <t>with ADS and EXBAR AR at the back</t>
  </si>
  <si>
    <t>safety factor of FR AR</t>
  </si>
  <si>
    <t>1 motor - 1 point</t>
  </si>
  <si>
    <t>G , AiRAY</t>
  </si>
  <si>
    <t>САМО ЗА SCV F И AiRAY</t>
  </si>
  <si>
    <t>G
g SCV F - тегло на боксожете под тази +AiRAY</t>
  </si>
  <si>
    <t>with EXBAR AR at the front</t>
  </si>
  <si>
    <t>G , SC2  F</t>
  </si>
  <si>
    <t>L , SC2 F</t>
  </si>
  <si>
    <t xml:space="preserve">g SC 2F - тегло на боксожете под тази </t>
  </si>
  <si>
    <t>G
g SC2 F + AiRAY - тегло на боксожете под тази +LA12</t>
  </si>
  <si>
    <t>enter the number of cabinets from 1 up to 8</t>
  </si>
  <si>
    <t>destroying force, kg AiRAY</t>
  </si>
  <si>
    <t>AiRAY, ViRAY</t>
  </si>
  <si>
    <t>destroying force, kg FR AR</t>
  </si>
  <si>
    <t>ONLY 0</t>
  </si>
  <si>
    <t>from 0 to 5</t>
  </si>
  <si>
    <t>изчисляване на центъра на тежеста на FR AR</t>
  </si>
  <si>
    <t>k- const</t>
  </si>
  <si>
    <t>f-ъгъл</t>
  </si>
  <si>
    <t>cos(f)</t>
  </si>
  <si>
    <t>изчисляване на центъра на тежеста на системата FR AR и АiRAY</t>
  </si>
  <si>
    <t>x= (SUM Gi*xi)/G</t>
  </si>
  <si>
    <t>with EXBAR AR at the front and ADS</t>
  </si>
  <si>
    <t>x=cos(f)*n(const)
n=378.71303 за FR AR</t>
  </si>
  <si>
    <t>enter the angle of frame FRT AR</t>
  </si>
  <si>
    <t>изчисляване на центъра на тежеста на FRT AR</t>
  </si>
  <si>
    <t>изчисляване на центъра на тежеста на системата FRT AR и АiRAY</t>
  </si>
  <si>
    <t>EASE Focus Index</t>
  </si>
  <si>
    <t>safety factor of  FTR AR</t>
  </si>
  <si>
    <t>изчисляване на центъра на тежеста на системата FR AR + АiRAY+ SC VF</t>
  </si>
  <si>
    <t>изчисляване на центъра на тежеста на FR AR спрямо най- горния FR AR</t>
  </si>
  <si>
    <t>изчисляване на центъра на тежеста на FR AR спрямо неговата нула</t>
  </si>
  <si>
    <t>РАЗСТОЯНИЕ</t>
  </si>
  <si>
    <t>n=sin(a)*((броя на колоните *491.5)+119+119)
n=378.71303 за FR AR</t>
  </si>
  <si>
    <t>sin(a)</t>
  </si>
  <si>
    <t>a- общ ъгъл</t>
  </si>
  <si>
    <t>изчисляване на центъра на тежеста на FR AR спрямо най- горния FR AR - началото на координатната си-ма</t>
  </si>
  <si>
    <t>n=sin(a)*((броя на колоните *358.6)+119+119)
n=378.71303 за FR AR</t>
  </si>
  <si>
    <t>X- НА ПЪРВИЯ ФРЕЙМ</t>
  </si>
  <si>
    <t>изчисляване на центъра на тежеста на ВТОРИЯ  FR AR спрямо най- горния FR AR</t>
  </si>
  <si>
    <t>изчисляване на центъра на тежеста на ВТОРИЯ FR AR спрямо неговата нула</t>
  </si>
  <si>
    <t>изчисляване на центъра на тежеста на ТРЕТИЯ FR AR спрямо неговата нула</t>
  </si>
  <si>
    <t>изчисляване на центъра на тежеста на ТРЕТИЯ  FR AR спрямо най- горния FR AR</t>
  </si>
  <si>
    <t>n=sin(a)*((броя на колоните AiRAY*358.6)+(броя на колоните SCV F*491.5)+119+119+119)
n=378.71303 за FR AR</t>
  </si>
  <si>
    <t>enter the number of cabinets from 1 up to 10</t>
  </si>
  <si>
    <t>коеф ex (за EXBAR AR)</t>
  </si>
  <si>
    <t>коеф ex (за EXBAR AR) между пиновете</t>
  </si>
  <si>
    <t>конста за AR</t>
  </si>
  <si>
    <t>F  пин3</t>
  </si>
  <si>
    <t>F  пин4</t>
  </si>
  <si>
    <t>F  пин1</t>
  </si>
  <si>
    <t>F  пин1 (ADS)</t>
  </si>
  <si>
    <t>sas- разстояние</t>
  </si>
  <si>
    <t>WWL на EXBAR пина</t>
  </si>
  <si>
    <t>safety според огъването на middle bar</t>
  </si>
  <si>
    <t>safety според силата в пина</t>
  </si>
  <si>
    <t>сила, кг</t>
  </si>
  <si>
    <t>F  пин4 (ADS)</t>
  </si>
  <si>
    <t>F  пин2</t>
  </si>
  <si>
    <t>Lo ex за 2 (за EXBAR AR)</t>
  </si>
  <si>
    <t>Lo ex за 1 (за EXBAR AR)</t>
  </si>
  <si>
    <t>1.Изчисляване на силата при ексбар отпред и  ADS отзад</t>
  </si>
  <si>
    <t>a pin ex за 1,2,5 (за EXBAR AR)</t>
  </si>
  <si>
    <t>w за 1и 2 и 5 (за EXBAR AR)</t>
  </si>
  <si>
    <t>Lo ex за 5 (за EXBAR AR отпред)</t>
  </si>
  <si>
    <t>5.Изчисляване на силата при ексбар отпред отвори от 17до 7</t>
  </si>
  <si>
    <t>конста за AR(LT)</t>
  </si>
  <si>
    <t>Lo ex за 5 (за EXBAR AR отзад)</t>
  </si>
  <si>
    <t>2.Изчисляване на силата при ексбар отзад и  ADS отпред</t>
  </si>
  <si>
    <t>safety factor of FR A
от 17 до 7</t>
  </si>
  <si>
    <t>safety factor of FR A
от 9 до 17</t>
  </si>
  <si>
    <t>safety factor of FR A
от 1до 17</t>
  </si>
  <si>
    <t>safety factor of FR A
от 17 до 1</t>
  </si>
  <si>
    <t>safety factor of FR A
от 1 до 17</t>
  </si>
  <si>
    <t>6.Изчисляване на силата при ексбар отзад  когато и двете точки са на EXBARA</t>
  </si>
  <si>
    <t>F  пин4(ADS)</t>
  </si>
  <si>
    <t>Lo ex за 6 (за EXBAR AR отпред)</t>
  </si>
  <si>
    <t>F  пин1(ADS)</t>
  </si>
  <si>
    <t>НОМЕР НА ОТВОР</t>
  </si>
  <si>
    <t>ПРИ 2 ТОЧКИ НА EXBAR ОТПРЕД</t>
  </si>
  <si>
    <t>ПРИ 2 ТОЧКИ НА EXBARA
ОТЗАД</t>
  </si>
  <si>
    <t>ПРИ 1 ТОЧКИ НА EXBAR ОТПРЕД И ADS ОТЗАД</t>
  </si>
  <si>
    <t>ПРИ 1 ТОЧКИ НА EXBAR ОТЗАД И ADS ОТПРЕД</t>
  </si>
  <si>
    <t>БРОЙ  ОТВОРИ -1</t>
  </si>
  <si>
    <t>5,6</t>
  </si>
  <si>
    <t>1 и 15</t>
  </si>
  <si>
    <t>ПРИ ADS отпред и ADS отзад</t>
  </si>
  <si>
    <t>51.Изчисляване на силата при ексбар отзад отвори от 9 до 17</t>
  </si>
  <si>
    <t>61.Изчисляване на силата при ексбар отПРЕД, когато и двете точки са на EXBARA</t>
  </si>
  <si>
    <t>62.Изчисляване на силата при ексбар отПРЕД, когато 1 точкa e на EXBARA</t>
  </si>
  <si>
    <t>63.Изчисляване на силата при ексбар ОТЗАД когато 1 точкa e на EXBARA</t>
  </si>
  <si>
    <t>64.Изчисляване на силата при ADS отпред и ADS отзад</t>
  </si>
  <si>
    <t>конста за AR - между 2 ADS- A - за 64</t>
  </si>
  <si>
    <t>махнати кавичките на числата от BG до CQ</t>
  </si>
  <si>
    <t>тези се оправят също</t>
  </si>
  <si>
    <t>отпред</t>
  </si>
  <si>
    <t>отзад</t>
  </si>
  <si>
    <t>махнати кавичките на числата от 5</t>
  </si>
  <si>
    <t>махнати кавичките на числата от 6</t>
  </si>
  <si>
    <t>destroying force, kg ViRAY(CiRAY)</t>
  </si>
  <si>
    <t>destroying force FR AR</t>
  </si>
  <si>
    <t>за CiRAY</t>
  </si>
  <si>
    <t>CiRAY</t>
  </si>
  <si>
    <t>0.5; 1; 2; 2.5; 3; 4; 5; 6; 7; 8; 9; 10</t>
  </si>
  <si>
    <t>ИМА КОНСТАНТА
65.6361751- CiRAY</t>
  </si>
  <si>
    <t>ИМА КОНСТАНТА
75.4990086 за  CiRAY</t>
  </si>
  <si>
    <t>t= 75.4990086-a</t>
  </si>
  <si>
    <t>ИМА КОНСТАНТА
57.1819124 за CiRAY</t>
  </si>
  <si>
    <t>r= 57.1819124+a</t>
  </si>
  <si>
    <t>Тегло CiRAY</t>
  </si>
  <si>
    <t>добавена клетка за CiRAY</t>
  </si>
  <si>
    <t>има константи тегла Total weight includes: CiRAY, FR AR ( 31 kg), EXBAR AR (4.5 kg),ADS(0.5 kg), Main LS Cables (30 kg)</t>
  </si>
  <si>
    <t>взима се теглото на CiRAY от добавената клетак горе вляво</t>
  </si>
  <si>
    <t>ИМА КОНСТАНТА
290.642868- CiRAY</t>
  </si>
  <si>
    <t>ИМА КОНСТАНТА
251.073172 за CiRAY</t>
  </si>
  <si>
    <t>ИМА КОНСТАНТА
251.073172- CiRAY</t>
  </si>
  <si>
    <t>enter the number of cabinets from 1 up to 26</t>
  </si>
  <si>
    <t>КОНСТАНТА ЗА CiRAY 492.3847</t>
  </si>
  <si>
    <t>G , SCV F+FR AR</t>
  </si>
  <si>
    <t>добавена клетка за SCV-F</t>
  </si>
  <si>
    <t>G , CiRAY</t>
  </si>
  <si>
    <t>G , CiRAY+FR AR</t>
  </si>
  <si>
    <t>L, CiRAY</t>
  </si>
  <si>
    <t>взима се теглото на SCV-F от добавената клетак горе вляво</t>
  </si>
  <si>
    <t xml:space="preserve">g SCV-F - тегло на боксожете под тази </t>
  </si>
  <si>
    <t>САМО ЗА SCV F И CiRAY</t>
  </si>
  <si>
    <t>G
g SCV F - тегло на боксожете под тази +CiRAY</t>
  </si>
  <si>
    <t>x CiRAY</t>
  </si>
  <si>
    <t>добавена клетка за SC2-F</t>
  </si>
  <si>
    <t>destroying force   SC2 F, kg</t>
  </si>
  <si>
    <t>взима се теглото на SC2-F от добавената клетак горе вляво</t>
  </si>
  <si>
    <t>Asc2F+CIRAY =x-J</t>
  </si>
  <si>
    <t>Asc2F=z-J</t>
  </si>
  <si>
    <t>ASCVF+CIRAY =x-J</t>
  </si>
  <si>
    <t>AscVF=z-J</t>
  </si>
  <si>
    <t>САМО ЗА SC2 F И CiRAY</t>
  </si>
  <si>
    <t>use the locking pin</t>
  </si>
  <si>
    <t>добавена клетка за AiRAY</t>
  </si>
  <si>
    <t xml:space="preserve">g SCV F - тегло на боксожете под тази </t>
  </si>
  <si>
    <t>взима се теглото на AiRAY от добавената клетак горе вляво</t>
  </si>
  <si>
    <t>G , SCV F  на всичките</t>
  </si>
  <si>
    <t>G , SC2 F всичките</t>
  </si>
  <si>
    <t xml:space="preserve">G
ARAY+SC2 F - тегло на боксожете под тази </t>
  </si>
  <si>
    <t>САМО ЗА SC2 F И AiRAY</t>
  </si>
  <si>
    <t>A AiRAY+SC2 F+CiRAY =x-J</t>
  </si>
  <si>
    <t>A, AiRAY+SCV F =x-J</t>
  </si>
  <si>
    <t>G , CiRAY+ CR LINK(2.5 kg)</t>
  </si>
  <si>
    <t xml:space="preserve">g SCV - тегло на боксожете под тази </t>
  </si>
  <si>
    <t>enter the number of cabinets from 1 up to 6</t>
  </si>
  <si>
    <t>xCiRAY</t>
  </si>
  <si>
    <t>Total weight includes:CiRAY, SC2 F,3x FR AR ( 3x31 kg), EXBAR AR (4.5kg),ADS (0.5 kg), Main LS Cables (30 kg)</t>
  </si>
  <si>
    <t>Total weight includes: CiRAY, SCV-F,3x FR AR ( 3x31 kg), EXBAR AR (4.5kg),ADS (0.5 kg), Main LS Cables (30 kg)</t>
  </si>
  <si>
    <t>Total weight includes: CiRAY, FR AR ( 31 kg), EXBAR AR (4.5 kg), ADS(0.5 kg), Main LS Cables (30 kg)</t>
  </si>
  <si>
    <t>G , SC2  F всички + FR AR</t>
  </si>
  <si>
    <t xml:space="preserve">g SC2F - тегло на боксовете под тази </t>
  </si>
  <si>
    <t xml:space="preserve">g SC2 - тегло на боксожете под тази </t>
  </si>
  <si>
    <t>САМО ЗА SC2 F ИCiRAY</t>
  </si>
  <si>
    <t>Asc2+CiRAY =x-J</t>
  </si>
  <si>
    <t>Asc2=z-J</t>
  </si>
  <si>
    <t>Тегло ViRAY</t>
  </si>
  <si>
    <t>добавена клетка за ViRAY</t>
  </si>
  <si>
    <t xml:space="preserve">има константи тегла </t>
  </si>
  <si>
    <t>САМО ЗА CiRAY и VIRAY</t>
  </si>
  <si>
    <t>G
g CIRAY - тегло на боксожете под тази CIRAY +VIRAY</t>
  </si>
  <si>
    <t>САМО ЗА CIRAY +VIRAY+ VR AR LINK</t>
  </si>
  <si>
    <t>САМО ЗА VIRAY =VIRAY</t>
  </si>
  <si>
    <t>A CIRAY+VIRAY  =x-J</t>
  </si>
  <si>
    <t>взима се теглото на ViRAY от добавената клетак горе вляво</t>
  </si>
  <si>
    <t>0.5 ; 1 ; 2 ; 2.5 ; 3; 4 ; 5 ; 5.5 ;  6.5 ; 7.5 ; 9 ; 10</t>
  </si>
  <si>
    <t>v, CiRAY</t>
  </si>
  <si>
    <t>d, CiRAY</t>
  </si>
  <si>
    <t>ТОВА Е ЦЕНТЪРА НА ТЕЖЕСТА ДО ГОРНАТА ТОЧКА НА ПЪРВИЯ VIRAY</t>
  </si>
  <si>
    <t>ФОРМУЛИТЕ В ПЪРВИЯ И ВТОРИЯ РЕДА СА РАЗЛИЧНИ -  Т.Е НЕ КОПИРАЙ ГОРНАТА НАДОЛУ</t>
  </si>
  <si>
    <t>ТУК БЕШЕ СГРЕШЕНА ФОРМУЛАТА ОТ ВТОРУЯ РЕД НАДОЛУ</t>
  </si>
  <si>
    <t>Total weight includes: CiRAY, ViRAY, FR AR ( 31 kg), EXBAR AR (4.5kg),ADS (0.5 kg), VR AR LINK (1.3 kg), Main LS Cables (30 kg)</t>
  </si>
  <si>
    <t>0.5; 1; 2; 2.5; 3; 4; 5; 6; 7; 8; 9; 11</t>
  </si>
  <si>
    <t>0.5; 1; 2; 2.5; 3; 4; 5; 6; 7; 8; 9; 12</t>
  </si>
  <si>
    <t>0.5; 1; 2; 2.5; 3; 4; 5; 6; 7; 8; 9; 13</t>
  </si>
  <si>
    <t>0.5; 1; 2; 2.5; 3; 4; 5; 6; 7; 8; 9; 14</t>
  </si>
  <si>
    <t>0.5; 1; 2; 2.5; 3; 4; 5; 6; 7; 8; 9; 15</t>
  </si>
  <si>
    <t>0.5; 1; 2; 2.5; 3; 4; 5; 6; 7; 8; 9; 16</t>
  </si>
  <si>
    <t xml:space="preserve">G-CRAY+SCV+CiRAY F - тегло на боксожете под тази </t>
  </si>
  <si>
    <t>A , CiRAY+SCV F+CiRAY =x-J</t>
  </si>
  <si>
    <t>G , CiRAY+CiRAY</t>
  </si>
  <si>
    <t>L,CiRAY</t>
  </si>
  <si>
    <t xml:space="preserve">G
g SCV F + CiRAY - тегло на боксожете под тази </t>
  </si>
  <si>
    <t>ИЗВАЖДАМ ТЕГЛАТА НА ВТОРИЯ И ТРЕТИЯ ГРЕЙМ , ЗАЩОТО ВЕЧЕ СА ДОБАВЕНИ В ОБЩОТО ТЕГЛО</t>
  </si>
  <si>
    <t>ИЗВАЖДАМ ТЕГЛОТО НА ВТОРИЯ ГРЕЙМ , ЗАЩОТО ВЕЧЕ Е ДОБАВЕН В ОБЩОТО ТЕГЛО</t>
  </si>
  <si>
    <t>Total weight includes:  SC2 F, CiRAY, FR AR ( 31 kg), EXBAR AR (4.5 kg),ADS(0.5 kg),CR LINK (2.5 kg) Main LS Cables (30 kg)</t>
  </si>
  <si>
    <t>Total weight includes:  SCV-F, CiRAY, FR AR ( 31 kg), EXBAR AR (4.5 kg),ADS(0.5 kg), CR LINK (2.5 kg) Main LS Cables (30 kg)</t>
  </si>
  <si>
    <t>Total weight includes: SC2 F, CiRAY, 2x FR AR ( 2x31 kg), EXBAR AR (4.5 kg),ADS(0.5 kg), Main LS Cables (30 kg)</t>
  </si>
  <si>
    <t>Total weight includes: SCV-F, CiRAY, 2x FR AR ( 2x31 kg), EXBAR AR (4.5 kg),ADS(0.5 kg), Main LS Cables (30 kg)</t>
  </si>
  <si>
    <t>Total weight includes: CiRAY, FRT AR ( 19 kg), EXBAR AR (4.5 kg), ADS(0.5 kg), Main LS Cables (30 kg)</t>
  </si>
  <si>
    <t>enter the angle of frame FR AR  with SA AR on CiRAY</t>
  </si>
  <si>
    <t>enter the angle of frame FR AR with SA AR on CiRAY</t>
  </si>
  <si>
    <t>enter: -5; -4; -3; -2; -1.5; -1;   0; 0.5; 1; 2; 2.5; 3; 4; 5</t>
  </si>
  <si>
    <t>safety според точките на окачване</t>
  </si>
  <si>
    <t>* 2</t>
  </si>
  <si>
    <t>изчисляване на CR LINK</t>
  </si>
  <si>
    <t xml:space="preserve">ъгъл константа </t>
  </si>
  <si>
    <t>R=Fy/sin(25.873-a)</t>
  </si>
  <si>
    <t>WLL CR LINK- вертикално</t>
  </si>
  <si>
    <t>WLL CR LINK- R-сила по направление</t>
  </si>
  <si>
    <t>sin(25.873+a)</t>
  </si>
  <si>
    <t>R=Fy/sin(25.873+a)</t>
  </si>
  <si>
    <t>изчисляване на VR AR LINK</t>
  </si>
  <si>
    <t>sin(константа+a)</t>
  </si>
  <si>
    <t>WLL VR-AR LINK- вертикално</t>
  </si>
  <si>
    <t>WLL VR-AR LINK- R-сила по направление
при 9 градуса с CiRAY е най - малко</t>
  </si>
  <si>
    <t>ViRAY спраямо CiRAY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</si>
</sst>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00"/>
    <numFmt numFmtId="165" formatCode="0.0"/>
  </numFmts>
  <fonts count="188" x14ac:knownFonts="1">
    <font>
      <sz val="10"/>
      <name val="Arial"/>
    </font>
    <font>
      <sz val="10"/>
      <name val="Arial"/>
      <family val="2"/>
    </font>
    <font>
      <sz val="8"/>
      <name val="Arial"/>
      <family val="2"/>
    </font>
    <font>
      <b/>
      <sz val="10"/>
      <name val="Arial"/>
      <family val="2"/>
    </font>
    <font>
      <b/>
      <sz val="20"/>
      <name val="Arial"/>
      <family val="2"/>
    </font>
    <font>
      <b/>
      <sz val="12"/>
      <name val="Arial"/>
      <family val="2"/>
    </font>
    <font>
      <sz val="14"/>
      <name val="Arial Narrow"/>
      <family val="2"/>
      <charset val="204"/>
    </font>
    <font>
      <b/>
      <sz val="10"/>
      <name val="Arial"/>
      <family val="2"/>
    </font>
    <font>
      <sz val="12"/>
      <name val="Arial"/>
      <family val="2"/>
    </font>
    <font>
      <b/>
      <sz val="12"/>
      <name val="Arial Narrow"/>
      <family val="2"/>
    </font>
    <font>
      <sz val="10"/>
      <name val="Arial"/>
      <family val="2"/>
    </font>
    <font>
      <sz val="11"/>
      <name val="Arial"/>
      <family val="2"/>
    </font>
    <font>
      <b/>
      <sz val="12"/>
      <color indexed="10"/>
      <name val="Arial"/>
      <family val="2"/>
    </font>
    <font>
      <b/>
      <sz val="14"/>
      <name val="Arial Narrow"/>
      <family val="2"/>
    </font>
    <font>
      <b/>
      <sz val="10"/>
      <color indexed="12"/>
      <name val="Arial"/>
      <family val="2"/>
    </font>
    <font>
      <b/>
      <sz val="12"/>
      <color indexed="12"/>
      <name val="Arial"/>
      <family val="2"/>
    </font>
    <font>
      <b/>
      <sz val="20"/>
      <name val="Arial Narrow"/>
      <family val="2"/>
    </font>
    <font>
      <b/>
      <sz val="12"/>
      <name val="Arial"/>
      <family val="2"/>
    </font>
    <font>
      <b/>
      <sz val="12"/>
      <color indexed="11"/>
      <name val="Arial"/>
      <family val="2"/>
    </font>
    <font>
      <sz val="6"/>
      <name val="Arial"/>
      <family val="2"/>
    </font>
    <font>
      <b/>
      <sz val="12"/>
      <color indexed="57"/>
      <name val="Arial"/>
      <family val="2"/>
    </font>
    <font>
      <sz val="10"/>
      <color indexed="57"/>
      <name val="Arial"/>
      <family val="2"/>
    </font>
    <font>
      <b/>
      <sz val="10"/>
      <color indexed="57"/>
      <name val="Arial"/>
      <family val="2"/>
    </font>
    <font>
      <sz val="10"/>
      <color indexed="9"/>
      <name val="Arial"/>
      <family val="2"/>
    </font>
    <font>
      <b/>
      <sz val="12"/>
      <color indexed="57"/>
      <name val="Arial Narrow"/>
      <family val="2"/>
    </font>
    <font>
      <b/>
      <sz val="12"/>
      <color indexed="17"/>
      <name val="Arial"/>
      <family val="2"/>
    </font>
    <font>
      <sz val="10"/>
      <color indexed="17"/>
      <name val="Arial"/>
      <family val="2"/>
    </font>
    <font>
      <sz val="12"/>
      <color indexed="11"/>
      <name val="Arial"/>
      <family val="2"/>
    </font>
    <font>
      <sz val="14"/>
      <name val="Arial"/>
      <family val="2"/>
    </font>
    <font>
      <b/>
      <sz val="10"/>
      <color indexed="10"/>
      <name val="Arial"/>
      <family val="2"/>
    </font>
    <font>
      <b/>
      <sz val="24"/>
      <name val="Arial Narrow"/>
      <family val="2"/>
    </font>
    <font>
      <sz val="24"/>
      <name val="Arial"/>
      <family val="2"/>
    </font>
    <font>
      <b/>
      <sz val="14"/>
      <color indexed="9"/>
      <name val="Arial Narrow"/>
      <family val="2"/>
    </font>
    <font>
      <b/>
      <sz val="16"/>
      <name val="Arial"/>
      <family val="2"/>
    </font>
    <font>
      <b/>
      <sz val="16"/>
      <name val="Arial Narrow"/>
      <family val="2"/>
    </font>
    <font>
      <sz val="12"/>
      <color indexed="10"/>
      <name val="Arial"/>
      <family val="2"/>
    </font>
    <font>
      <b/>
      <sz val="12"/>
      <color indexed="16"/>
      <name val="Arial"/>
      <family val="2"/>
    </font>
    <font>
      <b/>
      <sz val="10"/>
      <color indexed="48"/>
      <name val="Arial"/>
      <family val="2"/>
    </font>
    <font>
      <b/>
      <sz val="12"/>
      <color indexed="30"/>
      <name val="Arial"/>
      <family val="2"/>
    </font>
    <font>
      <sz val="10"/>
      <color indexed="10"/>
      <name val="Arial"/>
      <family val="2"/>
    </font>
    <font>
      <b/>
      <sz val="12"/>
      <color indexed="48"/>
      <name val="Arial"/>
      <family val="2"/>
    </font>
    <font>
      <b/>
      <sz val="12"/>
      <color indexed="8"/>
      <name val="Arial"/>
      <family val="2"/>
    </font>
    <font>
      <b/>
      <sz val="14"/>
      <name val="Arial"/>
      <family val="2"/>
    </font>
    <font>
      <sz val="14"/>
      <name val="Arial"/>
      <family val="2"/>
    </font>
    <font>
      <b/>
      <sz val="14"/>
      <name val="Arial"/>
      <family val="2"/>
    </font>
    <font>
      <b/>
      <u/>
      <sz val="14"/>
      <color indexed="10"/>
      <name val="Arial"/>
      <family val="2"/>
    </font>
    <font>
      <b/>
      <u/>
      <sz val="14"/>
      <color indexed="57"/>
      <name val="Arial"/>
      <family val="2"/>
    </font>
    <font>
      <u/>
      <sz val="14"/>
      <color indexed="57"/>
      <name val="Arial"/>
      <family val="2"/>
    </font>
    <font>
      <b/>
      <u/>
      <sz val="14"/>
      <name val="Arial"/>
      <family val="2"/>
    </font>
    <font>
      <b/>
      <sz val="11"/>
      <color indexed="81"/>
      <name val="Tahoma"/>
      <family val="2"/>
    </font>
    <font>
      <sz val="11"/>
      <color indexed="81"/>
      <name val="Tahoma"/>
      <family val="2"/>
    </font>
    <font>
      <sz val="9"/>
      <color indexed="81"/>
      <name val="Tahoma"/>
      <family val="2"/>
    </font>
    <font>
      <b/>
      <sz val="12"/>
      <color indexed="81"/>
      <name val="Tahoma"/>
      <family val="2"/>
    </font>
    <font>
      <sz val="12"/>
      <color indexed="81"/>
      <name val="Tahoma"/>
      <family val="2"/>
    </font>
    <font>
      <sz val="16"/>
      <name val="Arial"/>
      <family val="2"/>
    </font>
    <font>
      <b/>
      <sz val="16"/>
      <color indexed="17"/>
      <name val="Arial"/>
      <family val="2"/>
    </font>
    <font>
      <b/>
      <sz val="16"/>
      <color indexed="17"/>
      <name val="Arial Narrow"/>
      <family val="2"/>
    </font>
    <font>
      <b/>
      <sz val="16"/>
      <color indexed="12"/>
      <name val="Arial"/>
      <family val="2"/>
    </font>
    <font>
      <b/>
      <sz val="16"/>
      <color indexed="12"/>
      <name val="Arial Narrow"/>
      <family val="2"/>
    </font>
    <font>
      <b/>
      <sz val="16"/>
      <color indexed="57"/>
      <name val="Arial"/>
      <family val="2"/>
    </font>
    <font>
      <b/>
      <sz val="16"/>
      <color indexed="53"/>
      <name val="Arial"/>
      <family val="2"/>
    </font>
    <font>
      <b/>
      <sz val="16"/>
      <color indexed="53"/>
      <name val="Arial Narrow"/>
      <family val="2"/>
    </font>
    <font>
      <b/>
      <sz val="16"/>
      <color indexed="11"/>
      <name val="Arial"/>
      <family val="2"/>
    </font>
    <font>
      <b/>
      <sz val="12"/>
      <name val="Arial Black"/>
      <family val="2"/>
    </font>
    <font>
      <b/>
      <sz val="14"/>
      <color indexed="12"/>
      <name val="Arial"/>
      <family val="2"/>
    </font>
    <font>
      <b/>
      <sz val="14"/>
      <color indexed="57"/>
      <name val="Arial"/>
      <family val="2"/>
    </font>
    <font>
      <b/>
      <sz val="14"/>
      <color indexed="10"/>
      <name val="Arial"/>
      <family val="2"/>
    </font>
    <font>
      <b/>
      <sz val="14"/>
      <color indexed="81"/>
      <name val="Tahoma"/>
      <family val="2"/>
    </font>
    <font>
      <sz val="14"/>
      <color indexed="81"/>
      <name val="Tahoma"/>
      <family val="2"/>
    </font>
    <font>
      <sz val="14"/>
      <color indexed="10"/>
      <name val="Arial"/>
      <family val="2"/>
    </font>
    <font>
      <b/>
      <sz val="14"/>
      <color indexed="48"/>
      <name val="Arial"/>
      <family val="2"/>
    </font>
    <font>
      <b/>
      <sz val="14"/>
      <color indexed="16"/>
      <name val="Arial"/>
      <family val="2"/>
    </font>
    <font>
      <b/>
      <sz val="16"/>
      <color indexed="10"/>
      <name val="Arial"/>
      <family val="2"/>
    </font>
    <font>
      <b/>
      <sz val="16"/>
      <color indexed="81"/>
      <name val="Tahoma"/>
      <family val="2"/>
    </font>
    <font>
      <b/>
      <sz val="16"/>
      <color indexed="14"/>
      <name val="Arial"/>
      <family val="2"/>
    </font>
    <font>
      <b/>
      <sz val="10"/>
      <color indexed="14"/>
      <name val="Arial"/>
      <family val="2"/>
    </font>
    <font>
      <b/>
      <sz val="10"/>
      <color indexed="17"/>
      <name val="Arial"/>
      <family val="2"/>
    </font>
    <font>
      <sz val="10"/>
      <color indexed="8"/>
      <name val="Arial"/>
      <family val="2"/>
    </font>
    <font>
      <b/>
      <sz val="12"/>
      <color indexed="81"/>
      <name val="Tahoma"/>
      <family val="2"/>
      <charset val="204"/>
    </font>
    <font>
      <b/>
      <sz val="14"/>
      <name val="Arial"/>
      <family val="2"/>
      <charset val="204"/>
    </font>
    <font>
      <sz val="10"/>
      <name val="Arial"/>
      <family val="2"/>
      <charset val="204"/>
    </font>
    <font>
      <b/>
      <sz val="14"/>
      <color theme="1" tint="0.34998626667073579"/>
      <name val="Arial"/>
      <family val="2"/>
    </font>
    <font>
      <sz val="14"/>
      <color theme="1" tint="0.34998626667073579"/>
      <name val="Arial"/>
      <family val="2"/>
    </font>
    <font>
      <b/>
      <sz val="12"/>
      <color rgb="FF0000FF"/>
      <name val="Arial"/>
      <family val="2"/>
    </font>
    <font>
      <sz val="14"/>
      <name val="Arial"/>
      <family val="2"/>
      <charset val="204"/>
    </font>
    <font>
      <sz val="12"/>
      <color indexed="81"/>
      <name val="Tahoma"/>
      <family val="2"/>
      <charset val="204"/>
    </font>
    <font>
      <b/>
      <sz val="16"/>
      <name val="Arial"/>
      <family val="2"/>
      <charset val="204"/>
    </font>
    <font>
      <b/>
      <sz val="18"/>
      <color theme="0" tint="-4.9989318521683403E-2"/>
      <name val="Arial"/>
      <family val="2"/>
    </font>
    <font>
      <b/>
      <sz val="18"/>
      <color indexed="11"/>
      <name val="Arial"/>
      <family val="2"/>
    </font>
    <font>
      <b/>
      <sz val="14"/>
      <color rgb="FF002060"/>
      <name val="Arial"/>
      <family val="2"/>
    </font>
    <font>
      <b/>
      <sz val="14"/>
      <color rgb="FF002060"/>
      <name val="Arial"/>
      <family val="2"/>
      <charset val="204"/>
    </font>
    <font>
      <sz val="18"/>
      <name val="Arial"/>
      <family val="2"/>
    </font>
    <font>
      <b/>
      <sz val="18"/>
      <name val="Arial"/>
      <family val="2"/>
      <charset val="204"/>
    </font>
    <font>
      <sz val="18"/>
      <color indexed="81"/>
      <name val="Tahoma"/>
      <family val="2"/>
      <charset val="204"/>
    </font>
    <font>
      <b/>
      <u/>
      <sz val="14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"/>
      <family val="2"/>
      <charset val="204"/>
    </font>
    <font>
      <b/>
      <sz val="11"/>
      <name val="Arial"/>
      <family val="2"/>
      <charset val="204"/>
    </font>
    <font>
      <b/>
      <sz val="12"/>
      <color indexed="16"/>
      <name val="Arial"/>
      <family val="2"/>
      <charset val="204"/>
    </font>
    <font>
      <sz val="16"/>
      <name val="Arial"/>
      <family val="2"/>
      <charset val="204"/>
    </font>
    <font>
      <b/>
      <sz val="16"/>
      <color rgb="FF00B0F0"/>
      <name val="Arial"/>
      <family val="2"/>
    </font>
    <font>
      <b/>
      <sz val="18"/>
      <name val="Arial"/>
      <family val="2"/>
    </font>
    <font>
      <b/>
      <sz val="11"/>
      <color theme="0" tint="-4.9989318521683403E-2"/>
      <name val="Arial Narrow"/>
      <family val="2"/>
    </font>
    <font>
      <sz val="12"/>
      <name val="Arial"/>
      <family val="2"/>
      <charset val="204"/>
    </font>
    <font>
      <sz val="16"/>
      <color indexed="14"/>
      <name val="Arial"/>
      <family val="2"/>
    </font>
    <font>
      <b/>
      <sz val="12"/>
      <color rgb="FFC00000"/>
      <name val="Arial"/>
      <family val="2"/>
    </font>
    <font>
      <b/>
      <sz val="18"/>
      <name val="Arial Narrow"/>
      <family val="2"/>
    </font>
    <font>
      <b/>
      <sz val="18"/>
      <color rgb="FF00B050"/>
      <name val="Arial"/>
      <family val="2"/>
    </font>
    <font>
      <b/>
      <sz val="16"/>
      <color rgb="FFFF0000"/>
      <name val="Arial Narrow"/>
      <family val="2"/>
    </font>
    <font>
      <b/>
      <sz val="18"/>
      <color rgb="FFFF0000"/>
      <name val="Arial"/>
      <family val="2"/>
    </font>
    <font>
      <b/>
      <sz val="16"/>
      <color rgb="FF00B0F0"/>
      <name val="Arial Narrow"/>
      <family val="2"/>
    </font>
    <font>
      <b/>
      <sz val="18"/>
      <color rgb="FF00B0F0"/>
      <name val="Arial"/>
      <family val="2"/>
    </font>
    <font>
      <b/>
      <sz val="16"/>
      <color rgb="FF00B050"/>
      <name val="Arial"/>
      <family val="2"/>
    </font>
    <font>
      <b/>
      <sz val="16"/>
      <color rgb="FF00B050"/>
      <name val="Arial Narrow"/>
      <family val="2"/>
    </font>
    <font>
      <sz val="16"/>
      <color rgb="FF00B050"/>
      <name val="Arial"/>
      <family val="2"/>
    </font>
    <font>
      <b/>
      <sz val="16"/>
      <color rgb="FFFF0000"/>
      <name val="Arial"/>
      <family val="2"/>
    </font>
    <font>
      <b/>
      <sz val="16"/>
      <color theme="1"/>
      <name val="Arial"/>
      <family val="2"/>
    </font>
    <font>
      <b/>
      <sz val="16"/>
      <color indexed="9"/>
      <name val="Arial Narrow"/>
      <family val="2"/>
    </font>
    <font>
      <b/>
      <sz val="18"/>
      <color rgb="FFFF0000"/>
      <name val="Arial Narrow"/>
      <family val="2"/>
    </font>
    <font>
      <b/>
      <sz val="18"/>
      <color rgb="FFFF0000"/>
      <name val="Arial"/>
      <family val="2"/>
      <charset val="204"/>
    </font>
    <font>
      <b/>
      <sz val="22"/>
      <name val="Arial Narrow"/>
      <family val="2"/>
    </font>
    <font>
      <b/>
      <sz val="22"/>
      <color indexed="9"/>
      <name val="Arial Narrow"/>
      <family val="2"/>
    </font>
    <font>
      <sz val="22"/>
      <name val="Arial"/>
      <family val="2"/>
    </font>
    <font>
      <b/>
      <sz val="22"/>
      <name val="Arial"/>
      <family val="2"/>
      <charset val="204"/>
    </font>
    <font>
      <b/>
      <sz val="18"/>
      <color indexed="9"/>
      <name val="Arial Narrow"/>
      <family val="2"/>
    </font>
    <font>
      <b/>
      <sz val="14"/>
      <color indexed="81"/>
      <name val="Tahoma"/>
      <family val="2"/>
      <charset val="204"/>
    </font>
    <font>
      <sz val="14"/>
      <color indexed="81"/>
      <name val="Tahoma"/>
      <family val="2"/>
      <charset val="204"/>
    </font>
    <font>
      <sz val="10"/>
      <color rgb="FF00B050"/>
      <name val="Arial"/>
      <family val="2"/>
    </font>
    <font>
      <sz val="10"/>
      <color rgb="FF00B0F0"/>
      <name val="Arial"/>
      <family val="2"/>
    </font>
    <font>
      <sz val="10"/>
      <color rgb="FFFF0000"/>
      <name val="Arial"/>
      <family val="2"/>
    </font>
    <font>
      <b/>
      <sz val="12"/>
      <color rgb="FFFF0000"/>
      <name val="Arial Narrow"/>
      <family val="2"/>
    </font>
    <font>
      <b/>
      <sz val="14"/>
      <color rgb="FF00B0F0"/>
      <name val="Arial Narrow"/>
      <family val="2"/>
    </font>
    <font>
      <b/>
      <sz val="14"/>
      <color rgb="FF00B050"/>
      <name val="Arial Narrow"/>
      <family val="2"/>
    </font>
    <font>
      <b/>
      <sz val="16"/>
      <color rgb="FFFF3300"/>
      <name val="Arial"/>
      <family val="2"/>
    </font>
    <font>
      <sz val="10"/>
      <color rgb="FFFF3300"/>
      <name val="Arial"/>
      <family val="2"/>
    </font>
    <font>
      <b/>
      <sz val="14"/>
      <color rgb="FFFF3300"/>
      <name val="Arial Narrow"/>
      <family val="2"/>
    </font>
    <font>
      <sz val="18"/>
      <name val="Arial"/>
      <family val="2"/>
      <charset val="204"/>
    </font>
    <font>
      <u/>
      <sz val="16"/>
      <name val="Arial"/>
      <family val="2"/>
      <charset val="204"/>
    </font>
    <font>
      <b/>
      <u/>
      <sz val="16"/>
      <name val="Arial"/>
      <family val="2"/>
      <charset val="204"/>
    </font>
    <font>
      <sz val="20"/>
      <name val="Arial"/>
      <family val="2"/>
      <charset val="204"/>
    </font>
    <font>
      <u/>
      <sz val="16"/>
      <color theme="5"/>
      <name val="Arial"/>
      <family val="2"/>
      <charset val="204"/>
    </font>
    <font>
      <b/>
      <u/>
      <sz val="16"/>
      <color theme="5"/>
      <name val="Arial"/>
      <family val="2"/>
      <charset val="204"/>
    </font>
    <font>
      <sz val="16"/>
      <color theme="5"/>
      <name val="Arial"/>
      <family val="2"/>
      <charset val="204"/>
    </font>
    <font>
      <sz val="18"/>
      <color theme="5"/>
      <name val="Arial"/>
      <family val="2"/>
    </font>
    <font>
      <b/>
      <sz val="18"/>
      <color theme="5"/>
      <name val="Arial"/>
      <family val="2"/>
    </font>
    <font>
      <b/>
      <sz val="18"/>
      <color theme="5"/>
      <name val="Arial Narrow"/>
      <family val="2"/>
    </font>
    <font>
      <b/>
      <sz val="18"/>
      <color theme="5"/>
      <name val="Arial"/>
      <family val="2"/>
      <charset val="204"/>
    </font>
    <font>
      <sz val="16"/>
      <color theme="5"/>
      <name val="Arial"/>
      <family val="2"/>
    </font>
    <font>
      <u/>
      <sz val="16"/>
      <color rgb="FFFF0000"/>
      <name val="Arial"/>
      <family val="2"/>
      <charset val="204"/>
    </font>
    <font>
      <b/>
      <u/>
      <sz val="16"/>
      <color rgb="FFFF0000"/>
      <name val="Arial"/>
      <family val="2"/>
      <charset val="204"/>
    </font>
    <font>
      <sz val="16"/>
      <color rgb="FFFF0000"/>
      <name val="Arial"/>
      <family val="2"/>
      <charset val="204"/>
    </font>
    <font>
      <sz val="18"/>
      <color rgb="FFFF0000"/>
      <name val="Arial"/>
      <family val="2"/>
    </font>
    <font>
      <u/>
      <sz val="14"/>
      <name val="Arial"/>
      <family val="2"/>
      <charset val="204"/>
    </font>
    <font>
      <sz val="14"/>
      <color rgb="FFC00000"/>
      <name val="Arial"/>
      <family val="2"/>
      <charset val="204"/>
    </font>
    <font>
      <b/>
      <u/>
      <sz val="14"/>
      <color theme="9" tint="-0.249977111117893"/>
      <name val="Arial"/>
      <family val="2"/>
      <charset val="204"/>
    </font>
    <font>
      <sz val="16"/>
      <color theme="9" tint="-0.249977111117893"/>
      <name val="Arial"/>
      <family val="2"/>
      <charset val="204"/>
    </font>
    <font>
      <b/>
      <sz val="11"/>
      <color rgb="FFFFC000"/>
      <name val="Arial"/>
      <family val="2"/>
      <charset val="204"/>
    </font>
    <font>
      <b/>
      <sz val="12"/>
      <color rgb="FFFFC000"/>
      <name val="Arial"/>
      <family val="2"/>
      <charset val="204"/>
    </font>
    <font>
      <b/>
      <sz val="12"/>
      <color rgb="FFFFC000"/>
      <name val="Arial"/>
      <family val="2"/>
    </font>
    <font>
      <sz val="10"/>
      <color rgb="FFFF0000"/>
      <name val="Arial"/>
      <family val="2"/>
      <charset val="204"/>
    </font>
    <font>
      <b/>
      <sz val="10"/>
      <color rgb="FFFF0000"/>
      <name val="Arial"/>
      <family val="2"/>
      <charset val="204"/>
    </font>
    <font>
      <sz val="9"/>
      <color indexed="81"/>
      <name val="Tahoma"/>
      <family val="2"/>
      <charset val="204"/>
    </font>
    <font>
      <b/>
      <sz val="9"/>
      <color indexed="81"/>
      <name val="Tahoma"/>
      <family val="2"/>
      <charset val="204"/>
    </font>
    <font>
      <b/>
      <sz val="18"/>
      <color rgb="FFFFC000"/>
      <name val="Arial"/>
      <family val="2"/>
      <charset val="204"/>
    </font>
    <font>
      <b/>
      <sz val="20"/>
      <color rgb="FFFFC000"/>
      <name val="Arial"/>
      <family val="2"/>
      <charset val="204"/>
    </font>
    <font>
      <u/>
      <sz val="14"/>
      <name val="Arial"/>
      <family val="2"/>
    </font>
    <font>
      <b/>
      <u/>
      <sz val="14"/>
      <color rgb="FFFF3300"/>
      <name val="Arial"/>
      <family val="2"/>
    </font>
    <font>
      <b/>
      <sz val="12"/>
      <color rgb="FFFF0000"/>
      <name val="Arial"/>
      <family val="2"/>
    </font>
    <font>
      <b/>
      <u/>
      <sz val="14"/>
      <color rgb="FFC00000"/>
      <name val="Arial"/>
      <family val="2"/>
    </font>
    <font>
      <b/>
      <sz val="11"/>
      <color rgb="FFFF0000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sz val="14"/>
      <color rgb="FFFF0000"/>
      <name val="Arial"/>
      <family val="2"/>
      <charset val="204"/>
    </font>
    <font>
      <b/>
      <sz val="14"/>
      <color rgb="FFC00000"/>
      <name val="Arial"/>
      <family val="2"/>
    </font>
    <font>
      <b/>
      <sz val="16"/>
      <color rgb="FFC00000"/>
      <name val="Arial"/>
      <family val="2"/>
    </font>
    <font>
      <sz val="14"/>
      <color rgb="FFFFC000"/>
      <name val="Arial"/>
      <family val="2"/>
    </font>
    <font>
      <sz val="14"/>
      <color rgb="FFFF0000"/>
      <name val="Arial"/>
      <family val="2"/>
    </font>
    <font>
      <b/>
      <sz val="14"/>
      <color rgb="FFFFC000"/>
      <name val="Arial"/>
      <family val="2"/>
    </font>
    <font>
      <b/>
      <u/>
      <sz val="16"/>
      <color rgb="FFC00000"/>
      <name val="Arial"/>
      <family val="2"/>
    </font>
    <font>
      <sz val="10"/>
      <color rgb="FFFFC000"/>
      <name val="Arial"/>
      <family val="2"/>
      <charset val="204"/>
    </font>
    <font>
      <sz val="14"/>
      <color rgb="FFFFC000"/>
      <name val="Arial"/>
      <family val="2"/>
      <charset val="204"/>
    </font>
    <font>
      <sz val="12"/>
      <color rgb="FFFF0000"/>
      <name val="Arial"/>
      <family val="2"/>
      <charset val="204"/>
    </font>
    <font>
      <b/>
      <sz val="14"/>
      <color rgb="FFFF0000"/>
      <name val="Arial"/>
      <family val="2"/>
    </font>
    <font>
      <b/>
      <sz val="10"/>
      <color rgb="FFFF0000"/>
      <name val="Arial"/>
      <family val="2"/>
    </font>
    <font>
      <sz val="10"/>
      <color rgb="FFFFC000"/>
      <name val="Arial"/>
      <family val="2"/>
    </font>
    <font>
      <b/>
      <u/>
      <sz val="16"/>
      <color rgb="FFFF0000"/>
      <name val="Arial"/>
      <family val="2"/>
    </font>
    <font>
      <b/>
      <sz val="16"/>
      <color rgb="FFC00000"/>
      <name val="Arial"/>
      <family val="2"/>
      <charset val="204"/>
    </font>
    <font>
      <b/>
      <sz val="16"/>
      <color rgb="FFFF0000"/>
      <name val="Arial"/>
      <family val="2"/>
      <charset val="204"/>
    </font>
    <font>
      <sz val="16"/>
      <color theme="1" tint="0.249977111117893"/>
      <name val="Arial"/>
      <family val="2"/>
      <charset val="204"/>
    </font>
  </fonts>
  <fills count="33">
    <fill>
      <patternFill patternType="none"/>
    </fill>
    <fill>
      <patternFill patternType="gray125"/>
    </fill>
    <fill>
      <patternFill patternType="solid">
        <fgColor indexed="13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15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7"/>
        <bgColor indexed="64"/>
      </patternFill>
    </fill>
    <fill>
      <patternFill patternType="lightUp"/>
    </fill>
    <fill>
      <patternFill patternType="solid">
        <fgColor rgb="FF00B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rgb="FF66CCFF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499984740745262"/>
        <bgColor indexed="64"/>
      </patternFill>
    </fill>
  </fills>
  <borders count="106">
    <border>
      <left/>
      <right/>
      <top/>
      <bottom/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rgb="FFFF0000"/>
      </left>
      <right/>
      <top style="medium">
        <color rgb="FFFF0000"/>
      </top>
      <bottom/>
      <diagonal/>
    </border>
    <border>
      <left/>
      <right/>
      <top style="medium">
        <color rgb="FFFF0000"/>
      </top>
      <bottom/>
      <diagonal/>
    </border>
    <border>
      <left/>
      <right style="medium">
        <color rgb="FFFF0000"/>
      </right>
      <top style="medium">
        <color rgb="FFFF0000"/>
      </top>
      <bottom/>
      <diagonal/>
    </border>
    <border>
      <left style="medium">
        <color rgb="FFFF0000"/>
      </left>
      <right/>
      <top/>
      <bottom/>
      <diagonal/>
    </border>
    <border>
      <left/>
      <right style="medium">
        <color rgb="FFFF0000"/>
      </right>
      <top/>
      <bottom/>
      <diagonal/>
    </border>
    <border>
      <left style="medium">
        <color rgb="FFFF0000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rgb="FFFF0000"/>
      </right>
      <top style="medium">
        <color indexed="64"/>
      </top>
      <bottom style="medium">
        <color indexed="64"/>
      </bottom>
      <diagonal/>
    </border>
    <border>
      <left style="medium">
        <color rgb="FFFF0000"/>
      </left>
      <right/>
      <top/>
      <bottom style="medium">
        <color indexed="64"/>
      </bottom>
      <diagonal/>
    </border>
    <border>
      <left/>
      <right style="medium">
        <color rgb="FFFF0000"/>
      </right>
      <top/>
      <bottom style="medium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thin">
        <color indexed="64"/>
      </top>
      <bottom style="medium">
        <color rgb="FFFF0000"/>
      </bottom>
      <diagonal/>
    </border>
    <border>
      <left style="medium">
        <color rgb="FFFF0000"/>
      </left>
      <right/>
      <top style="medium">
        <color indexed="64"/>
      </top>
      <bottom/>
      <diagonal/>
    </border>
    <border>
      <left/>
      <right style="medium">
        <color rgb="FFFF0000"/>
      </right>
      <top style="medium">
        <color indexed="64"/>
      </top>
      <bottom/>
      <diagonal/>
    </border>
    <border>
      <left style="medium">
        <color indexed="64"/>
      </left>
      <right style="medium">
        <color rgb="FFFF0000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rgb="FFFF0000"/>
      </left>
      <right/>
      <top style="medium">
        <color rgb="FFFF0000"/>
      </top>
      <bottom style="medium">
        <color rgb="FFFF0000"/>
      </bottom>
      <diagonal/>
    </border>
    <border>
      <left/>
      <right/>
      <top style="medium">
        <color rgb="FFFF0000"/>
      </top>
      <bottom style="medium">
        <color rgb="FFFF0000"/>
      </bottom>
      <diagonal/>
    </border>
    <border>
      <left/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 style="medium">
        <color rgb="FF00B0F0"/>
      </left>
      <right/>
      <top style="medium">
        <color rgb="FF00B0F0"/>
      </top>
      <bottom style="medium">
        <color rgb="FF00B0F0"/>
      </bottom>
      <diagonal/>
    </border>
    <border>
      <left/>
      <right/>
      <top style="medium">
        <color rgb="FF00B0F0"/>
      </top>
      <bottom style="medium">
        <color rgb="FF00B0F0"/>
      </bottom>
      <diagonal/>
    </border>
    <border>
      <left style="medium">
        <color rgb="FF00B050"/>
      </left>
      <right style="medium">
        <color rgb="FF00B050"/>
      </right>
      <top style="medium">
        <color rgb="FF00B0F0"/>
      </top>
      <bottom style="medium">
        <color rgb="FF00B0F0"/>
      </bottom>
      <diagonal/>
    </border>
    <border>
      <left/>
      <right/>
      <top style="medium">
        <color rgb="FF00B050"/>
      </top>
      <bottom style="medium">
        <color rgb="FF00B050"/>
      </bottom>
      <diagonal/>
    </border>
    <border>
      <left style="medium">
        <color rgb="FF00B0F0"/>
      </left>
      <right style="medium">
        <color rgb="FF00B0F0"/>
      </right>
      <top style="medium">
        <color rgb="FF00B050"/>
      </top>
      <bottom style="medium">
        <color rgb="FF00B050"/>
      </bottom>
      <diagonal/>
    </border>
    <border>
      <left/>
      <right style="medium">
        <color rgb="FF00B050"/>
      </right>
      <top style="medium">
        <color rgb="FF00B050"/>
      </top>
      <bottom style="medium">
        <color rgb="FF00B050"/>
      </bottom>
      <diagonal/>
    </border>
    <border>
      <left style="medium">
        <color rgb="FF00B050"/>
      </left>
      <right/>
      <top style="medium">
        <color rgb="FF00B050"/>
      </top>
      <bottom/>
      <diagonal/>
    </border>
    <border>
      <left/>
      <right/>
      <top style="medium">
        <color rgb="FF00B050"/>
      </top>
      <bottom/>
      <diagonal/>
    </border>
    <border>
      <left/>
      <right style="medium">
        <color rgb="FF00B050"/>
      </right>
      <top style="medium">
        <color rgb="FF00B050"/>
      </top>
      <bottom/>
      <diagonal/>
    </border>
    <border>
      <left style="medium">
        <color rgb="FF00B050"/>
      </left>
      <right/>
      <top/>
      <bottom style="medium">
        <color rgb="FF00B050"/>
      </bottom>
      <diagonal/>
    </border>
    <border>
      <left/>
      <right/>
      <top/>
      <bottom style="medium">
        <color rgb="FF00B050"/>
      </bottom>
      <diagonal/>
    </border>
    <border>
      <left/>
      <right style="medium">
        <color rgb="FF00B050"/>
      </right>
      <top/>
      <bottom style="medium">
        <color rgb="FF00B050"/>
      </bottom>
      <diagonal/>
    </border>
    <border>
      <left style="medium">
        <color rgb="FF00B0F0"/>
      </left>
      <right/>
      <top style="medium">
        <color rgb="FF00B0F0"/>
      </top>
      <bottom/>
      <diagonal/>
    </border>
    <border>
      <left/>
      <right/>
      <top style="medium">
        <color rgb="FF00B0F0"/>
      </top>
      <bottom/>
      <diagonal/>
    </border>
    <border>
      <left/>
      <right style="medium">
        <color rgb="FF00B0F0"/>
      </right>
      <top style="medium">
        <color rgb="FF00B0F0"/>
      </top>
      <bottom/>
      <diagonal/>
    </border>
    <border>
      <left style="medium">
        <color rgb="FF00B0F0"/>
      </left>
      <right/>
      <top/>
      <bottom style="medium">
        <color rgb="FF00B0F0"/>
      </bottom>
      <diagonal/>
    </border>
    <border>
      <left/>
      <right/>
      <top/>
      <bottom style="medium">
        <color rgb="FF00B0F0"/>
      </bottom>
      <diagonal/>
    </border>
    <border>
      <left/>
      <right style="medium">
        <color rgb="FF00B0F0"/>
      </right>
      <top/>
      <bottom style="medium">
        <color rgb="FF00B0F0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 style="medium">
        <color rgb="FFFF0000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rgb="FF00B050"/>
      </top>
      <bottom style="medium">
        <color rgb="FF00B050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rgb="FFFF0000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rgb="FFFF0000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rgb="FFFF0000"/>
      </left>
      <right/>
      <top/>
      <bottom style="medium">
        <color rgb="FFFF0000"/>
      </bottom>
      <diagonal/>
    </border>
    <border>
      <left/>
      <right/>
      <top/>
      <bottom style="medium">
        <color rgb="FFFF0000"/>
      </bottom>
      <diagonal/>
    </border>
    <border>
      <left/>
      <right style="medium">
        <color rgb="FFFF0000"/>
      </right>
      <top/>
      <bottom style="medium">
        <color rgb="FFFF0000"/>
      </bottom>
      <diagonal/>
    </border>
    <border>
      <left style="medium">
        <color rgb="FFFF0000"/>
      </left>
      <right style="medium">
        <color rgb="FFFF0000"/>
      </right>
      <top style="medium">
        <color rgb="FF00B050"/>
      </top>
      <bottom style="medium">
        <color rgb="FF00B050"/>
      </bottom>
      <diagonal/>
    </border>
    <border>
      <left style="medium">
        <color theme="3" tint="0.39997558519241921"/>
      </left>
      <right style="medium">
        <color theme="3" tint="0.39997558519241921"/>
      </right>
      <top style="medium">
        <color theme="3" tint="0.39997558519241921"/>
      </top>
      <bottom style="medium">
        <color theme="3" tint="0.39997558519241921"/>
      </bottom>
      <diagonal/>
    </border>
    <border>
      <left style="medium">
        <color theme="3" tint="0.39997558519241921"/>
      </left>
      <right style="thin">
        <color indexed="64"/>
      </right>
      <top style="medium">
        <color theme="3" tint="0.3999755851924192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theme="3" tint="0.39997558519241921"/>
      </top>
      <bottom style="thin">
        <color indexed="64"/>
      </bottom>
      <diagonal/>
    </border>
    <border>
      <left/>
      <right/>
      <top style="medium">
        <color theme="3" tint="0.39997558519241921"/>
      </top>
      <bottom/>
      <diagonal/>
    </border>
    <border>
      <left/>
      <right style="medium">
        <color theme="3" tint="0.39997558519241921"/>
      </right>
      <top style="medium">
        <color theme="3" tint="0.39997558519241921"/>
      </top>
      <bottom/>
      <diagonal/>
    </border>
    <border>
      <left style="medium">
        <color theme="3" tint="0.39997558519241921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theme="3" tint="0.39997558519241921"/>
      </right>
      <top/>
      <bottom/>
      <diagonal/>
    </border>
    <border>
      <left style="medium">
        <color theme="3" tint="0.39997558519241921"/>
      </left>
      <right/>
      <top/>
      <bottom/>
      <diagonal/>
    </border>
    <border>
      <left style="medium">
        <color theme="3" tint="0.39997558519241921"/>
      </left>
      <right/>
      <top/>
      <bottom style="medium">
        <color theme="3" tint="0.39997558519241921"/>
      </bottom>
      <diagonal/>
    </border>
    <border>
      <left/>
      <right/>
      <top/>
      <bottom style="medium">
        <color theme="3" tint="0.3999755851924192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theme="3" tint="0.39997558519241921"/>
      </bottom>
      <diagonal/>
    </border>
    <border>
      <left/>
      <right style="medium">
        <color theme="3" tint="0.39997558519241921"/>
      </right>
      <top/>
      <bottom style="medium">
        <color theme="3" tint="0.39997558519241921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0" fontId="1" fillId="0" borderId="0"/>
    <xf numFmtId="0" fontId="80" fillId="0" borderId="0"/>
  </cellStyleXfs>
  <cellXfs count="1161">
    <xf numFmtId="0" fontId="0" fillId="0" borderId="0" xfId="0"/>
    <xf numFmtId="0" fontId="4" fillId="5" borderId="22" xfId="0" applyFont="1" applyFill="1" applyBorder="1" applyAlignment="1" applyProtection="1">
      <alignment horizontal="center"/>
      <protection locked="0"/>
    </xf>
    <xf numFmtId="0" fontId="4" fillId="5" borderId="5" xfId="0" applyFont="1" applyFill="1" applyBorder="1" applyAlignment="1" applyProtection="1">
      <alignment horizontal="center" vertical="center"/>
      <protection locked="0"/>
    </xf>
    <xf numFmtId="0" fontId="5" fillId="11" borderId="8" xfId="1" applyFont="1" applyFill="1" applyBorder="1" applyAlignment="1">
      <alignment horizontal="center" wrapText="1"/>
    </xf>
    <xf numFmtId="0" fontId="28" fillId="11" borderId="0" xfId="1" applyFont="1" applyFill="1" applyAlignment="1">
      <alignment horizontal="center" wrapText="1"/>
    </xf>
    <xf numFmtId="0" fontId="8" fillId="11" borderId="0" xfId="1" applyFont="1" applyFill="1" applyAlignment="1">
      <alignment horizontal="center" wrapText="1"/>
    </xf>
    <xf numFmtId="0" fontId="89" fillId="11" borderId="8" xfId="1" applyFont="1" applyFill="1" applyBorder="1" applyAlignment="1">
      <alignment horizontal="center"/>
    </xf>
    <xf numFmtId="0" fontId="90" fillId="11" borderId="8" xfId="1" applyFont="1" applyFill="1" applyBorder="1"/>
    <xf numFmtId="0" fontId="89" fillId="11" borderId="7" xfId="1" applyFont="1" applyFill="1" applyBorder="1" applyAlignment="1">
      <alignment horizontal="center"/>
    </xf>
    <xf numFmtId="0" fontId="90" fillId="22" borderId="8" xfId="1" applyFont="1" applyFill="1" applyBorder="1"/>
    <xf numFmtId="0" fontId="91" fillId="12" borderId="0" xfId="1" applyFont="1" applyFill="1"/>
    <xf numFmtId="0" fontId="91" fillId="0" borderId="0" xfId="1" applyFont="1"/>
    <xf numFmtId="0" fontId="81" fillId="0" borderId="0" xfId="2" applyFont="1" applyAlignment="1">
      <alignment horizontal="center" vertical="center"/>
    </xf>
    <xf numFmtId="2" fontId="64" fillId="0" borderId="0" xfId="1" applyNumberFormat="1" applyFont="1" applyAlignment="1">
      <alignment horizontal="center" vertical="center"/>
    </xf>
    <xf numFmtId="0" fontId="42" fillId="0" borderId="0" xfId="2" applyFont="1" applyAlignment="1">
      <alignment horizontal="center" vertical="center"/>
    </xf>
    <xf numFmtId="2" fontId="42" fillId="0" borderId="0" xfId="1" applyNumberFormat="1" applyFont="1" applyAlignment="1">
      <alignment horizontal="center" vertical="center"/>
    </xf>
    <xf numFmtId="0" fontId="8" fillId="2" borderId="5" xfId="0" applyFont="1" applyFill="1" applyBorder="1" applyAlignment="1" applyProtection="1">
      <alignment horizontal="center"/>
      <protection locked="0"/>
    </xf>
    <xf numFmtId="0" fontId="4" fillId="15" borderId="5" xfId="0" applyFont="1" applyFill="1" applyBorder="1" applyAlignment="1" applyProtection="1">
      <alignment horizontal="center"/>
      <protection locked="0"/>
    </xf>
    <xf numFmtId="0" fontId="4" fillId="15" borderId="5" xfId="0" applyFont="1" applyFill="1" applyBorder="1" applyAlignment="1" applyProtection="1">
      <alignment horizontal="center" vertical="center"/>
      <protection locked="0"/>
    </xf>
    <xf numFmtId="0" fontId="105" fillId="2" borderId="5" xfId="0" applyFont="1" applyFill="1" applyBorder="1" applyAlignment="1" applyProtection="1">
      <alignment horizontal="center"/>
      <protection locked="0"/>
    </xf>
    <xf numFmtId="0" fontId="8" fillId="2" borderId="14" xfId="1" applyFont="1" applyFill="1" applyBorder="1" applyAlignment="1" applyProtection="1">
      <alignment horizontal="center"/>
      <protection locked="0"/>
    </xf>
    <xf numFmtId="0" fontId="8" fillId="2" borderId="5" xfId="1" applyFont="1" applyFill="1" applyBorder="1" applyAlignment="1" applyProtection="1">
      <alignment horizontal="center"/>
      <protection locked="0"/>
    </xf>
    <xf numFmtId="0" fontId="4" fillId="15" borderId="5" xfId="1" applyFont="1" applyFill="1" applyBorder="1" applyAlignment="1" applyProtection="1">
      <alignment horizontal="center"/>
      <protection locked="0"/>
    </xf>
    <xf numFmtId="0" fontId="4" fillId="23" borderId="5" xfId="0" applyFont="1" applyFill="1" applyBorder="1" applyAlignment="1" applyProtection="1">
      <alignment horizontal="center" vertical="center"/>
      <protection locked="0"/>
    </xf>
    <xf numFmtId="0" fontId="5" fillId="0" borderId="0" xfId="0" applyFont="1"/>
    <xf numFmtId="0" fontId="84" fillId="19" borderId="0" xfId="0" applyFont="1" applyFill="1" applyAlignment="1">
      <alignment horizontal="center"/>
    </xf>
    <xf numFmtId="0" fontId="0" fillId="0" borderId="0" xfId="0" applyAlignment="1">
      <alignment horizontal="center"/>
    </xf>
    <xf numFmtId="0" fontId="46" fillId="0" borderId="8" xfId="0" applyFont="1" applyBorder="1"/>
    <xf numFmtId="0" fontId="94" fillId="13" borderId="8" xfId="0" applyFont="1" applyFill="1" applyBorder="1" applyAlignment="1">
      <alignment horizontal="center"/>
    </xf>
    <xf numFmtId="0" fontId="86" fillId="19" borderId="8" xfId="0" applyFont="1" applyFill="1" applyBorder="1" applyAlignment="1">
      <alignment horizontal="center"/>
    </xf>
    <xf numFmtId="0" fontId="79" fillId="13" borderId="8" xfId="0" applyFont="1" applyFill="1" applyBorder="1" applyAlignment="1">
      <alignment horizontal="center"/>
    </xf>
    <xf numFmtId="0" fontId="84" fillId="19" borderId="8" xfId="0" applyFont="1" applyFill="1" applyBorder="1" applyAlignment="1">
      <alignment horizontal="center"/>
    </xf>
    <xf numFmtId="0" fontId="47" fillId="0" borderId="8" xfId="0" applyFont="1" applyBorder="1" applyAlignment="1">
      <alignment horizontal="center"/>
    </xf>
    <xf numFmtId="0" fontId="45" fillId="2" borderId="8" xfId="0" applyFont="1" applyFill="1" applyBorder="1" applyAlignment="1">
      <alignment wrapText="1"/>
    </xf>
    <xf numFmtId="0" fontId="45" fillId="2" borderId="8" xfId="0" applyFont="1" applyFill="1" applyBorder="1" applyAlignment="1">
      <alignment horizontal="center"/>
    </xf>
    <xf numFmtId="0" fontId="45" fillId="0" borderId="0" xfId="0" applyFont="1" applyAlignment="1">
      <alignment wrapText="1"/>
    </xf>
    <xf numFmtId="0" fontId="45" fillId="0" borderId="0" xfId="0" applyFont="1" applyAlignment="1">
      <alignment horizontal="center"/>
    </xf>
    <xf numFmtId="0" fontId="28" fillId="12" borderId="8" xfId="0" applyFont="1" applyFill="1" applyBorder="1" applyAlignment="1">
      <alignment horizontal="center" wrapText="1"/>
    </xf>
    <xf numFmtId="0" fontId="28" fillId="12" borderId="8" xfId="0" applyFont="1" applyFill="1" applyBorder="1" applyAlignment="1">
      <alignment horizontal="center"/>
    </xf>
    <xf numFmtId="0" fontId="28" fillId="12" borderId="12" xfId="0" applyFont="1" applyFill="1" applyBorder="1" applyAlignment="1">
      <alignment horizontal="center"/>
    </xf>
    <xf numFmtId="0" fontId="28" fillId="18" borderId="31" xfId="0" applyFont="1" applyFill="1" applyBorder="1" applyAlignment="1">
      <alignment horizontal="center"/>
    </xf>
    <xf numFmtId="0" fontId="28" fillId="6" borderId="8" xfId="0" applyFont="1" applyFill="1" applyBorder="1" applyAlignment="1">
      <alignment horizontal="center"/>
    </xf>
    <xf numFmtId="0" fontId="28" fillId="0" borderId="8" xfId="0" applyFont="1" applyBorder="1" applyAlignment="1">
      <alignment horizontal="center"/>
    </xf>
    <xf numFmtId="0" fontId="80" fillId="0" borderId="0" xfId="0" applyFont="1"/>
    <xf numFmtId="0" fontId="48" fillId="0" borderId="0" xfId="0" applyFont="1" applyAlignment="1">
      <alignment wrapText="1"/>
    </xf>
    <xf numFmtId="0" fontId="48" fillId="0" borderId="0" xfId="0" applyFont="1" applyAlignment="1">
      <alignment horizontal="center"/>
    </xf>
    <xf numFmtId="0" fontId="80" fillId="0" borderId="0" xfId="0" applyFont="1" applyAlignment="1">
      <alignment horizontal="center"/>
    </xf>
    <xf numFmtId="0" fontId="28" fillId="0" borderId="0" xfId="0" applyFont="1" applyAlignment="1">
      <alignment horizontal="center"/>
    </xf>
    <xf numFmtId="0" fontId="28" fillId="0" borderId="0" xfId="0" applyFont="1"/>
    <xf numFmtId="0" fontId="42" fillId="0" borderId="0" xfId="1" applyFont="1" applyAlignment="1">
      <alignment wrapText="1"/>
    </xf>
    <xf numFmtId="0" fontId="28" fillId="0" borderId="0" xfId="1" applyFont="1"/>
    <xf numFmtId="0" fontId="30" fillId="0" borderId="0" xfId="0" applyFont="1" applyAlignment="1">
      <alignment horizontal="center"/>
    </xf>
    <xf numFmtId="0" fontId="30" fillId="0" borderId="0" xfId="1" applyFont="1" applyAlignment="1">
      <alignment horizontal="center" vertical="center"/>
    </xf>
    <xf numFmtId="2" fontId="42" fillId="0" borderId="0" xfId="0" applyNumberFormat="1" applyFont="1" applyAlignment="1">
      <alignment horizontal="center" vertical="center"/>
    </xf>
    <xf numFmtId="0" fontId="42" fillId="0" borderId="0" xfId="0" applyFont="1" applyAlignment="1">
      <alignment vertical="center"/>
    </xf>
    <xf numFmtId="2" fontId="42" fillId="0" borderId="0" xfId="0" applyNumberFormat="1" applyFont="1" applyAlignment="1">
      <alignment vertical="center"/>
    </xf>
    <xf numFmtId="2" fontId="42" fillId="0" borderId="0" xfId="0" applyNumberFormat="1" applyFont="1"/>
    <xf numFmtId="0" fontId="42" fillId="0" borderId="0" xfId="0" applyFont="1"/>
    <xf numFmtId="0" fontId="43" fillId="0" borderId="0" xfId="0" applyFont="1"/>
    <xf numFmtId="0" fontId="33" fillId="0" borderId="0" xfId="0" applyFont="1" applyAlignment="1">
      <alignment horizontal="right"/>
    </xf>
    <xf numFmtId="0" fontId="33" fillId="0" borderId="0" xfId="0" applyFont="1"/>
    <xf numFmtId="0" fontId="33" fillId="0" borderId="0" xfId="0" applyFont="1" applyAlignment="1">
      <alignment horizontal="left"/>
    </xf>
    <xf numFmtId="0" fontId="54" fillId="0" borderId="0" xfId="0" applyFont="1"/>
    <xf numFmtId="0" fontId="30" fillId="0" borderId="0" xfId="0" applyFont="1" applyAlignment="1">
      <alignment vertical="center"/>
    </xf>
    <xf numFmtId="0" fontId="16" fillId="3" borderId="0" xfId="0" applyFont="1" applyFill="1" applyAlignment="1">
      <alignment horizontal="center"/>
    </xf>
    <xf numFmtId="0" fontId="103" fillId="0" borderId="0" xfId="0" applyFont="1"/>
    <xf numFmtId="0" fontId="0" fillId="0" borderId="1" xfId="0" applyBorder="1"/>
    <xf numFmtId="0" fontId="30" fillId="3" borderId="5" xfId="0" applyFont="1" applyFill="1" applyBorder="1" applyAlignment="1">
      <alignment horizontal="center" vertical="center"/>
    </xf>
    <xf numFmtId="0" fontId="16" fillId="0" borderId="0" xfId="0" applyFont="1" applyAlignment="1">
      <alignment horizontal="center"/>
    </xf>
    <xf numFmtId="0" fontId="0" fillId="0" borderId="0" xfId="0" applyAlignment="1">
      <alignment vertical="center"/>
    </xf>
    <xf numFmtId="0" fontId="55" fillId="0" borderId="0" xfId="0" applyFont="1"/>
    <xf numFmtId="1" fontId="56" fillId="0" borderId="0" xfId="0" applyNumberFormat="1" applyFont="1"/>
    <xf numFmtId="0" fontId="57" fillId="0" borderId="0" xfId="0" applyFont="1" applyAlignment="1">
      <alignment horizontal="center"/>
    </xf>
    <xf numFmtId="0" fontId="57" fillId="0" borderId="0" xfId="0" applyFont="1" applyAlignment="1">
      <alignment horizontal="right"/>
    </xf>
    <xf numFmtId="0" fontId="0" fillId="0" borderId="2" xfId="0" applyBorder="1"/>
    <xf numFmtId="1" fontId="58" fillId="0" borderId="0" xfId="0" applyNumberFormat="1" applyFont="1" applyAlignment="1">
      <alignment horizontal="right"/>
    </xf>
    <xf numFmtId="0" fontId="57" fillId="0" borderId="0" xfId="0" applyFont="1" applyAlignment="1">
      <alignment wrapText="1"/>
    </xf>
    <xf numFmtId="1" fontId="58" fillId="0" borderId="0" xfId="0" applyNumberFormat="1" applyFont="1" applyAlignment="1">
      <alignment horizontal="left"/>
    </xf>
    <xf numFmtId="0" fontId="54" fillId="0" borderId="0" xfId="0" applyFont="1" applyAlignment="1">
      <alignment horizontal="center"/>
    </xf>
    <xf numFmtId="0" fontId="44" fillId="0" borderId="0" xfId="0" applyFont="1" applyAlignment="1">
      <alignment horizontal="right"/>
    </xf>
    <xf numFmtId="0" fontId="57" fillId="10" borderId="0" xfId="0" applyFont="1" applyFill="1" applyAlignment="1">
      <alignment horizontal="center"/>
    </xf>
    <xf numFmtId="0" fontId="57" fillId="0" borderId="32" xfId="0" applyFont="1" applyBorder="1" applyAlignment="1">
      <alignment horizontal="center"/>
    </xf>
    <xf numFmtId="0" fontId="57" fillId="0" borderId="33" xfId="0" applyFont="1" applyBorder="1" applyAlignment="1">
      <alignment horizontal="center"/>
    </xf>
    <xf numFmtId="0" fontId="57" fillId="0" borderId="34" xfId="0" applyFont="1" applyBorder="1" applyAlignment="1">
      <alignment horizontal="center"/>
    </xf>
    <xf numFmtId="0" fontId="33" fillId="12" borderId="5" xfId="0" applyFont="1" applyFill="1" applyBorder="1"/>
    <xf numFmtId="1" fontId="58" fillId="12" borderId="13" xfId="0" applyNumberFormat="1" applyFont="1" applyFill="1" applyBorder="1" applyAlignment="1">
      <alignment horizontal="right"/>
    </xf>
    <xf numFmtId="0" fontId="33" fillId="12" borderId="16" xfId="0" applyFont="1" applyFill="1" applyBorder="1"/>
    <xf numFmtId="0" fontId="57" fillId="0" borderId="35" xfId="0" applyFont="1" applyBorder="1" applyAlignment="1">
      <alignment horizontal="center"/>
    </xf>
    <xf numFmtId="0" fontId="57" fillId="0" borderId="36" xfId="0" applyFont="1" applyBorder="1" applyAlignment="1">
      <alignment horizontal="center"/>
    </xf>
    <xf numFmtId="0" fontId="23" fillId="0" borderId="0" xfId="0" applyFont="1"/>
    <xf numFmtId="0" fontId="57" fillId="0" borderId="0" xfId="0" applyFont="1"/>
    <xf numFmtId="1" fontId="58" fillId="0" borderId="0" xfId="0" applyNumberFormat="1" applyFont="1"/>
    <xf numFmtId="0" fontId="57" fillId="0" borderId="35" xfId="0" applyFont="1" applyBorder="1"/>
    <xf numFmtId="0" fontId="57" fillId="0" borderId="36" xfId="0" applyFont="1" applyBorder="1"/>
    <xf numFmtId="0" fontId="54" fillId="12" borderId="13" xfId="0" applyFont="1" applyFill="1" applyBorder="1"/>
    <xf numFmtId="1" fontId="58" fillId="12" borderId="13" xfId="0" applyNumberFormat="1" applyFont="1" applyFill="1" applyBorder="1"/>
    <xf numFmtId="0" fontId="13" fillId="3" borderId="0" xfId="0" applyFont="1" applyFill="1" applyAlignment="1">
      <alignment horizontal="center"/>
    </xf>
    <xf numFmtId="0" fontId="13" fillId="0" borderId="0" xfId="0" applyFont="1" applyAlignment="1">
      <alignment horizontal="center"/>
    </xf>
    <xf numFmtId="0" fontId="54" fillId="0" borderId="35" xfId="0" applyFont="1" applyBorder="1"/>
    <xf numFmtId="0" fontId="54" fillId="0" borderId="36" xfId="0" applyFont="1" applyBorder="1"/>
    <xf numFmtId="0" fontId="33" fillId="12" borderId="7" xfId="0" applyFont="1" applyFill="1" applyBorder="1"/>
    <xf numFmtId="0" fontId="0" fillId="12" borderId="13" xfId="0" applyFill="1" applyBorder="1"/>
    <xf numFmtId="0" fontId="33" fillId="12" borderId="13" xfId="0" applyFont="1" applyFill="1" applyBorder="1"/>
    <xf numFmtId="0" fontId="33" fillId="12" borderId="6" xfId="0" applyFont="1" applyFill="1" applyBorder="1"/>
    <xf numFmtId="0" fontId="54" fillId="12" borderId="2" xfId="0" applyFont="1" applyFill="1" applyBorder="1"/>
    <xf numFmtId="0" fontId="0" fillId="12" borderId="2" xfId="0" applyFill="1" applyBorder="1"/>
    <xf numFmtId="0" fontId="33" fillId="12" borderId="2" xfId="0" applyFont="1" applyFill="1" applyBorder="1"/>
    <xf numFmtId="0" fontId="33" fillId="12" borderId="3" xfId="0" applyFont="1" applyFill="1" applyBorder="1"/>
    <xf numFmtId="0" fontId="3" fillId="6" borderId="0" xfId="0" applyFont="1" applyFill="1"/>
    <xf numFmtId="0" fontId="3" fillId="0" borderId="0" xfId="0" applyFont="1"/>
    <xf numFmtId="0" fontId="21" fillId="0" borderId="0" xfId="0" applyFont="1" applyAlignment="1">
      <alignment horizontal="center"/>
    </xf>
    <xf numFmtId="0" fontId="33" fillId="12" borderId="46" xfId="0" applyFont="1" applyFill="1" applyBorder="1"/>
    <xf numFmtId="0" fontId="54" fillId="12" borderId="38" xfId="0" applyFont="1" applyFill="1" applyBorder="1"/>
    <xf numFmtId="0" fontId="29" fillId="2" borderId="0" xfId="0" applyFont="1" applyFill="1" applyAlignment="1">
      <alignment horizontal="center"/>
    </xf>
    <xf numFmtId="0" fontId="7" fillId="0" borderId="0" xfId="0" applyFont="1"/>
    <xf numFmtId="0" fontId="54" fillId="12" borderId="39" xfId="0" applyFont="1" applyFill="1" applyBorder="1"/>
    <xf numFmtId="0" fontId="54" fillId="12" borderId="40" xfId="0" applyFont="1" applyFill="1" applyBorder="1"/>
    <xf numFmtId="0" fontId="33" fillId="12" borderId="39" xfId="0" applyFont="1" applyFill="1" applyBorder="1"/>
    <xf numFmtId="0" fontId="33" fillId="12" borderId="40" xfId="0" applyFont="1" applyFill="1" applyBorder="1"/>
    <xf numFmtId="2" fontId="0" fillId="0" borderId="0" xfId="0" applyNumberFormat="1"/>
    <xf numFmtId="0" fontId="54" fillId="0" borderId="13" xfId="0" applyFont="1" applyBorder="1"/>
    <xf numFmtId="0" fontId="54" fillId="12" borderId="37" xfId="0" applyFont="1" applyFill="1" applyBorder="1"/>
    <xf numFmtId="0" fontId="33" fillId="0" borderId="13" xfId="0" applyFont="1" applyBorder="1"/>
    <xf numFmtId="0" fontId="33" fillId="12" borderId="37" xfId="0" applyFont="1" applyFill="1" applyBorder="1"/>
    <xf numFmtId="0" fontId="33" fillId="12" borderId="38" xfId="0" applyFont="1" applyFill="1" applyBorder="1"/>
    <xf numFmtId="0" fontId="0" fillId="0" borderId="13" xfId="0" applyBorder="1"/>
    <xf numFmtId="0" fontId="14" fillId="0" borderId="0" xfId="0" applyFont="1" applyAlignment="1">
      <alignment horizontal="center" vertical="center" wrapText="1"/>
    </xf>
    <xf numFmtId="2" fontId="15" fillId="0" borderId="0" xfId="0" applyNumberFormat="1" applyFont="1"/>
    <xf numFmtId="0" fontId="33" fillId="12" borderId="9" xfId="0" applyFont="1" applyFill="1" applyBorder="1"/>
    <xf numFmtId="0" fontId="33" fillId="12" borderId="1" xfId="0" applyFont="1" applyFill="1" applyBorder="1"/>
    <xf numFmtId="0" fontId="0" fillId="12" borderId="1" xfId="0" applyFill="1" applyBorder="1"/>
    <xf numFmtId="0" fontId="33" fillId="12" borderId="44" xfId="0" applyFont="1" applyFill="1" applyBorder="1"/>
    <xf numFmtId="0" fontId="33" fillId="12" borderId="45" xfId="0" applyFont="1" applyFill="1" applyBorder="1"/>
    <xf numFmtId="0" fontId="54" fillId="12" borderId="1" xfId="0" applyFont="1" applyFill="1" applyBorder="1"/>
    <xf numFmtId="0" fontId="33" fillId="12" borderId="21" xfId="0" applyFont="1" applyFill="1" applyBorder="1"/>
    <xf numFmtId="0" fontId="33" fillId="0" borderId="2" xfId="0" applyFont="1" applyBorder="1"/>
    <xf numFmtId="0" fontId="33" fillId="0" borderId="39" xfId="0" applyFont="1" applyBorder="1"/>
    <xf numFmtId="0" fontId="33" fillId="0" borderId="40" xfId="0" applyFont="1" applyBorder="1"/>
    <xf numFmtId="0" fontId="33" fillId="0" borderId="37" xfId="0" applyFont="1" applyBorder="1"/>
    <xf numFmtId="0" fontId="33" fillId="0" borderId="38" xfId="0" applyFont="1" applyBorder="1"/>
    <xf numFmtId="0" fontId="33" fillId="0" borderId="36" xfId="0" applyFont="1" applyBorder="1"/>
    <xf numFmtId="0" fontId="33" fillId="0" borderId="35" xfId="0" applyFont="1" applyBorder="1"/>
    <xf numFmtId="0" fontId="33" fillId="4" borderId="0" xfId="0" applyFont="1" applyFill="1"/>
    <xf numFmtId="0" fontId="33" fillId="12" borderId="10" xfId="0" applyFont="1" applyFill="1" applyBorder="1"/>
    <xf numFmtId="0" fontId="33" fillId="12" borderId="0" xfId="0" applyFont="1" applyFill="1"/>
    <xf numFmtId="0" fontId="33" fillId="12" borderId="4" xfId="0" applyFont="1" applyFill="1" applyBorder="1"/>
    <xf numFmtId="0" fontId="54" fillId="0" borderId="0" xfId="0" applyFont="1" applyAlignment="1">
      <alignment wrapText="1"/>
    </xf>
    <xf numFmtId="0" fontId="59" fillId="0" borderId="8" xfId="0" applyFont="1" applyBorder="1"/>
    <xf numFmtId="0" fontId="59" fillId="0" borderId="31" xfId="0" applyFont="1" applyBorder="1"/>
    <xf numFmtId="0" fontId="59" fillId="0" borderId="41" xfId="0" applyFont="1" applyBorder="1"/>
    <xf numFmtId="0" fontId="59" fillId="0" borderId="42" xfId="0" applyFont="1" applyBorder="1"/>
    <xf numFmtId="0" fontId="59" fillId="0" borderId="43" xfId="0" applyFont="1" applyBorder="1"/>
    <xf numFmtId="0" fontId="59" fillId="0" borderId="11" xfId="0" applyFont="1" applyBorder="1"/>
    <xf numFmtId="0" fontId="59" fillId="0" borderId="0" xfId="0" applyFont="1"/>
    <xf numFmtId="0" fontId="59" fillId="0" borderId="30" xfId="0" applyFont="1" applyBorder="1"/>
    <xf numFmtId="0" fontId="33" fillId="0" borderId="7" xfId="0" applyFont="1" applyBorder="1" applyAlignment="1">
      <alignment wrapText="1"/>
    </xf>
    <xf numFmtId="0" fontId="87" fillId="21" borderId="7" xfId="0" applyFont="1" applyFill="1" applyBorder="1" applyAlignment="1">
      <alignment horizontal="center"/>
    </xf>
    <xf numFmtId="0" fontId="87" fillId="21" borderId="13" xfId="0" applyFont="1" applyFill="1" applyBorder="1" applyAlignment="1">
      <alignment horizontal="center"/>
    </xf>
    <xf numFmtId="0" fontId="87" fillId="21" borderId="16" xfId="0" applyFont="1" applyFill="1" applyBorder="1" applyAlignment="1">
      <alignment horizontal="center"/>
    </xf>
    <xf numFmtId="0" fontId="87" fillId="0" borderId="0" xfId="0" applyFont="1" applyAlignment="1">
      <alignment horizontal="center"/>
    </xf>
    <xf numFmtId="0" fontId="60" fillId="0" borderId="0" xfId="0" applyFont="1"/>
    <xf numFmtId="1" fontId="61" fillId="0" borderId="0" xfId="0" applyNumberFormat="1" applyFont="1"/>
    <xf numFmtId="1" fontId="61" fillId="0" borderId="0" xfId="0" applyNumberFormat="1" applyFont="1" applyAlignment="1">
      <alignment horizontal="left"/>
    </xf>
    <xf numFmtId="0" fontId="60" fillId="0" borderId="0" xfId="0" applyFont="1" applyAlignment="1">
      <alignment horizontal="center"/>
    </xf>
    <xf numFmtId="1" fontId="61" fillId="0" borderId="0" xfId="0" applyNumberFormat="1" applyFont="1" applyAlignment="1">
      <alignment horizontal="right"/>
    </xf>
    <xf numFmtId="0" fontId="99" fillId="0" borderId="0" xfId="0" applyFont="1"/>
    <xf numFmtId="0" fontId="57" fillId="12" borderId="13" xfId="0" applyFont="1" applyFill="1" applyBorder="1" applyAlignment="1">
      <alignment horizontal="center"/>
    </xf>
    <xf numFmtId="0" fontId="57" fillId="12" borderId="2" xfId="0" applyFont="1" applyFill="1" applyBorder="1" applyAlignment="1">
      <alignment horizontal="center"/>
    </xf>
    <xf numFmtId="0" fontId="60" fillId="12" borderId="13" xfId="0" applyFont="1" applyFill="1" applyBorder="1"/>
    <xf numFmtId="0" fontId="60" fillId="12" borderId="2" xfId="0" applyFont="1" applyFill="1" applyBorder="1"/>
    <xf numFmtId="0" fontId="44" fillId="0" borderId="0" xfId="0" applyFont="1"/>
    <xf numFmtId="2" fontId="0" fillId="0" borderId="0" xfId="0" applyNumberFormat="1" applyAlignment="1">
      <alignment vertical="center"/>
    </xf>
    <xf numFmtId="0" fontId="33" fillId="0" borderId="5" xfId="0" applyFont="1" applyBorder="1" applyAlignment="1">
      <alignment wrapText="1"/>
    </xf>
    <xf numFmtId="0" fontId="57" fillId="10" borderId="7" xfId="0" applyFont="1" applyFill="1" applyBorder="1"/>
    <xf numFmtId="0" fontId="57" fillId="10" borderId="13" xfId="0" applyFont="1" applyFill="1" applyBorder="1"/>
    <xf numFmtId="0" fontId="57" fillId="10" borderId="13" xfId="0" applyFont="1" applyFill="1" applyBorder="1" applyAlignment="1">
      <alignment horizontal="center"/>
    </xf>
    <xf numFmtId="0" fontId="57" fillId="10" borderId="16" xfId="0" applyFont="1" applyFill="1" applyBorder="1" applyAlignment="1">
      <alignment horizontal="center"/>
    </xf>
    <xf numFmtId="0" fontId="33" fillId="0" borderId="0" xfId="0" applyFont="1" applyAlignment="1">
      <alignment wrapText="1"/>
    </xf>
    <xf numFmtId="0" fontId="62" fillId="0" borderId="8" xfId="0" applyFont="1" applyBorder="1" applyAlignment="1">
      <alignment horizontal="center"/>
    </xf>
    <xf numFmtId="0" fontId="62" fillId="0" borderId="0" xfId="0" applyFont="1" applyAlignment="1">
      <alignment horizontal="center"/>
    </xf>
    <xf numFmtId="0" fontId="33" fillId="0" borderId="7" xfId="0" applyFont="1" applyBorder="1" applyAlignment="1">
      <alignment vertical="center"/>
    </xf>
    <xf numFmtId="0" fontId="88" fillId="0" borderId="0" xfId="0" applyFont="1" applyAlignment="1">
      <alignment horizontal="center"/>
    </xf>
    <xf numFmtId="0" fontId="33" fillId="0" borderId="0" xfId="0" applyFont="1" applyAlignment="1">
      <alignment horizontal="center"/>
    </xf>
    <xf numFmtId="0" fontId="16" fillId="0" borderId="0" xfId="0" applyFont="1"/>
    <xf numFmtId="0" fontId="31" fillId="0" borderId="0" xfId="0" applyFont="1" applyAlignment="1">
      <alignment vertical="center"/>
    </xf>
    <xf numFmtId="0" fontId="62" fillId="0" borderId="0" xfId="0" applyFont="1"/>
    <xf numFmtId="0" fontId="18" fillId="0" borderId="0" xfId="0" applyFont="1"/>
    <xf numFmtId="0" fontId="44" fillId="12" borderId="8" xfId="0" applyFont="1" applyFill="1" applyBorder="1"/>
    <xf numFmtId="49" fontId="101" fillId="23" borderId="22" xfId="0" applyNumberFormat="1" applyFont="1" applyFill="1" applyBorder="1" applyAlignment="1">
      <alignment horizontal="center" vertical="center" wrapText="1"/>
    </xf>
    <xf numFmtId="0" fontId="5" fillId="0" borderId="1" xfId="0" applyFont="1" applyBorder="1" applyAlignment="1">
      <alignment wrapText="1"/>
    </xf>
    <xf numFmtId="0" fontId="106" fillId="6" borderId="5" xfId="0" applyFont="1" applyFill="1" applyBorder="1" applyAlignment="1">
      <alignment horizontal="center" wrapText="1"/>
    </xf>
    <xf numFmtId="0" fontId="34" fillId="0" borderId="0" xfId="0" applyFont="1" applyAlignment="1">
      <alignment horizontal="center" wrapText="1"/>
    </xf>
    <xf numFmtId="0" fontId="13" fillId="0" borderId="0" xfId="0" applyFont="1"/>
    <xf numFmtId="0" fontId="32" fillId="0" borderId="0" xfId="0" applyFont="1"/>
    <xf numFmtId="0" fontId="1" fillId="0" borderId="0" xfId="0" applyFont="1"/>
    <xf numFmtId="0" fontId="28" fillId="0" borderId="0" xfId="0" applyFont="1" applyAlignment="1">
      <alignment horizontal="right"/>
    </xf>
    <xf numFmtId="49" fontId="5" fillId="19" borderId="0" xfId="0" applyNumberFormat="1" applyFont="1" applyFill="1" applyAlignment="1">
      <alignment horizontal="center" wrapText="1"/>
    </xf>
    <xf numFmtId="0" fontId="63" fillId="0" borderId="0" xfId="0" applyFont="1" applyAlignment="1">
      <alignment horizontal="left"/>
    </xf>
    <xf numFmtId="0" fontId="106" fillId="6" borderId="5" xfId="0" applyFont="1" applyFill="1" applyBorder="1" applyAlignment="1">
      <alignment horizontal="center" vertical="center" wrapText="1"/>
    </xf>
    <xf numFmtId="0" fontId="4" fillId="2" borderId="13" xfId="0" applyFont="1" applyFill="1" applyBorder="1" applyAlignment="1">
      <alignment horizontal="center"/>
    </xf>
    <xf numFmtId="0" fontId="4" fillId="12" borderId="5" xfId="0" applyFont="1" applyFill="1" applyBorder="1" applyAlignment="1">
      <alignment horizontal="center"/>
    </xf>
    <xf numFmtId="0" fontId="4" fillId="0" borderId="0" xfId="0" applyFont="1" applyAlignment="1">
      <alignment horizontal="center"/>
    </xf>
    <xf numFmtId="0" fontId="4" fillId="0" borderId="0" xfId="0" applyFont="1"/>
    <xf numFmtId="0" fontId="4" fillId="4" borderId="0" xfId="0" applyFont="1" applyFill="1"/>
    <xf numFmtId="0" fontId="4" fillId="4" borderId="2" xfId="0" applyFont="1" applyFill="1" applyBorder="1"/>
    <xf numFmtId="0" fontId="0" fillId="0" borderId="10" xfId="0" applyBorder="1"/>
    <xf numFmtId="2" fontId="5" fillId="0" borderId="10" xfId="0" applyNumberFormat="1" applyFont="1" applyBorder="1"/>
    <xf numFmtId="2" fontId="5" fillId="0" borderId="0" xfId="0" applyNumberFormat="1" applyFont="1"/>
    <xf numFmtId="0" fontId="0" fillId="12" borderId="55" xfId="0" applyFill="1" applyBorder="1" applyAlignment="1">
      <alignment horizontal="center"/>
    </xf>
    <xf numFmtId="0" fontId="8" fillId="0" borderId="0" xfId="0" applyFont="1"/>
    <xf numFmtId="0" fontId="5" fillId="11" borderId="0" xfId="0" applyFont="1" applyFill="1"/>
    <xf numFmtId="0" fontId="8" fillId="0" borderId="4" xfId="0" applyFont="1" applyBorder="1" applyAlignment="1">
      <alignment horizontal="center" wrapText="1"/>
    </xf>
    <xf numFmtId="0" fontId="0" fillId="0" borderId="0" xfId="0" applyAlignment="1">
      <alignment horizontal="center" wrapText="1"/>
    </xf>
    <xf numFmtId="0" fontId="10" fillId="0" borderId="0" xfId="0" applyFont="1" applyAlignment="1">
      <alignment horizontal="center" wrapText="1"/>
    </xf>
    <xf numFmtId="0" fontId="0" fillId="0" borderId="10" xfId="0" applyBorder="1" applyAlignment="1">
      <alignment vertical="center"/>
    </xf>
    <xf numFmtId="0" fontId="0" fillId="0" borderId="4" xfId="0" applyBorder="1" applyAlignment="1">
      <alignment vertical="center"/>
    </xf>
    <xf numFmtId="0" fontId="10" fillId="0" borderId="0" xfId="0" applyFont="1"/>
    <xf numFmtId="0" fontId="3" fillId="0" borderId="0" xfId="0" applyFont="1" applyAlignment="1">
      <alignment horizontal="center"/>
    </xf>
    <xf numFmtId="2" fontId="5" fillId="0" borderId="9" xfId="0" applyNumberFormat="1" applyFont="1" applyBorder="1"/>
    <xf numFmtId="49" fontId="5" fillId="4" borderId="9" xfId="0" applyNumberFormat="1" applyFont="1" applyFill="1" applyBorder="1" applyAlignment="1">
      <alignment horizontal="center" wrapText="1"/>
    </xf>
    <xf numFmtId="49" fontId="5" fillId="12" borderId="56" xfId="0" applyNumberFormat="1" applyFont="1" applyFill="1" applyBorder="1" applyAlignment="1">
      <alignment horizontal="center" wrapText="1"/>
    </xf>
    <xf numFmtId="49" fontId="5" fillId="0" borderId="0" xfId="0" applyNumberFormat="1" applyFont="1" applyAlignment="1">
      <alignment horizontal="center" wrapText="1"/>
    </xf>
    <xf numFmtId="0" fontId="95" fillId="0" borderId="19" xfId="0" applyFont="1" applyBorder="1"/>
    <xf numFmtId="0" fontId="95" fillId="0" borderId="20" xfId="0" applyFont="1" applyBorder="1"/>
    <xf numFmtId="0" fontId="0" fillId="0" borderId="4" xfId="0" applyBorder="1" applyAlignment="1">
      <alignment horizontal="center" wrapText="1"/>
    </xf>
    <xf numFmtId="0" fontId="0" fillId="7" borderId="0" xfId="0" applyFill="1" applyAlignment="1">
      <alignment horizontal="center" wrapText="1"/>
    </xf>
    <xf numFmtId="0" fontId="0" fillId="7" borderId="0" xfId="0" applyFill="1"/>
    <xf numFmtId="0" fontId="0" fillId="11" borderId="12" xfId="0" applyFill="1" applyBorder="1" applyAlignment="1">
      <alignment horizontal="center" wrapText="1"/>
    </xf>
    <xf numFmtId="0" fontId="3" fillId="8" borderId="0" xfId="0" applyFont="1" applyFill="1"/>
    <xf numFmtId="2" fontId="37" fillId="0" borderId="0" xfId="0" applyNumberFormat="1" applyFont="1" applyAlignment="1">
      <alignment horizontal="center"/>
    </xf>
    <xf numFmtId="2" fontId="40" fillId="0" borderId="22" xfId="0" applyNumberFormat="1" applyFont="1" applyBorder="1" applyAlignment="1">
      <alignment horizontal="center" vertical="center"/>
    </xf>
    <xf numFmtId="2" fontId="9" fillId="0" borderId="0" xfId="0" applyNumberFormat="1" applyFont="1"/>
    <xf numFmtId="0" fontId="5" fillId="2" borderId="5" xfId="0" applyFont="1" applyFill="1" applyBorder="1"/>
    <xf numFmtId="0" fontId="5" fillId="0" borderId="7" xfId="0" applyFont="1" applyBorder="1"/>
    <xf numFmtId="0" fontId="5" fillId="2" borderId="16" xfId="0" applyFont="1" applyFill="1" applyBorder="1" applyAlignment="1">
      <alignment horizontal="center"/>
    </xf>
    <xf numFmtId="0" fontId="5" fillId="2" borderId="5" xfId="0" applyFont="1" applyFill="1" applyBorder="1" applyAlignment="1">
      <alignment horizontal="center"/>
    </xf>
    <xf numFmtId="0" fontId="0" fillId="0" borderId="16" xfId="0" applyBorder="1"/>
    <xf numFmtId="0" fontId="36" fillId="13" borderId="1" xfId="0" applyFont="1" applyFill="1" applyBorder="1" applyAlignment="1">
      <alignment horizontal="center"/>
    </xf>
    <xf numFmtId="0" fontId="36" fillId="0" borderId="1" xfId="0" applyFont="1" applyBorder="1" applyAlignment="1">
      <alignment horizontal="center"/>
    </xf>
    <xf numFmtId="0" fontId="36" fillId="8" borderId="1" xfId="0" applyFont="1" applyFill="1" applyBorder="1" applyAlignment="1">
      <alignment horizontal="center"/>
    </xf>
    <xf numFmtId="2" fontId="38" fillId="2" borderId="5" xfId="0" applyNumberFormat="1" applyFont="1" applyFill="1" applyBorder="1" applyAlignment="1">
      <alignment horizontal="center"/>
    </xf>
    <xf numFmtId="2" fontId="38" fillId="2" borderId="7" xfId="0" applyNumberFormat="1" applyFont="1" applyFill="1" applyBorder="1" applyAlignment="1">
      <alignment horizontal="center"/>
    </xf>
    <xf numFmtId="2" fontId="38" fillId="7" borderId="5" xfId="0" applyNumberFormat="1" applyFont="1" applyFill="1" applyBorder="1" applyAlignment="1">
      <alignment horizontal="center"/>
    </xf>
    <xf numFmtId="0" fontId="6" fillId="0" borderId="0" xfId="0" applyFont="1"/>
    <xf numFmtId="0" fontId="5" fillId="2" borderId="6" xfId="0" applyFont="1" applyFill="1" applyBorder="1"/>
    <xf numFmtId="0" fontId="5" fillId="0" borderId="6" xfId="0" applyFont="1" applyBorder="1"/>
    <xf numFmtId="0" fontId="9" fillId="2" borderId="16" xfId="0" applyFont="1" applyFill="1" applyBorder="1" applyAlignment="1">
      <alignment horizontal="center"/>
    </xf>
    <xf numFmtId="0" fontId="5" fillId="2" borderId="7" xfId="0" applyFont="1" applyFill="1" applyBorder="1" applyAlignment="1">
      <alignment horizontal="center"/>
    </xf>
    <xf numFmtId="0" fontId="5" fillId="2" borderId="14" xfId="0" applyFont="1" applyFill="1" applyBorder="1" applyAlignment="1">
      <alignment horizontal="center"/>
    </xf>
    <xf numFmtId="0" fontId="0" fillId="0" borderId="3" xfId="0" applyBorder="1"/>
    <xf numFmtId="0" fontId="12" fillId="7" borderId="0" xfId="0" applyFont="1" applyFill="1" applyAlignment="1">
      <alignment horizontal="center"/>
    </xf>
    <xf numFmtId="0" fontId="5" fillId="11" borderId="0" xfId="0" applyFont="1" applyFill="1" applyAlignment="1">
      <alignment horizontal="center"/>
    </xf>
    <xf numFmtId="0" fontId="98" fillId="11" borderId="0" xfId="0" applyFont="1" applyFill="1" applyAlignment="1">
      <alignment horizontal="center"/>
    </xf>
    <xf numFmtId="0" fontId="36" fillId="11" borderId="0" xfId="0" applyFont="1" applyFill="1" applyAlignment="1">
      <alignment horizontal="center"/>
    </xf>
    <xf numFmtId="0" fontId="36" fillId="0" borderId="0" xfId="0" applyFont="1" applyAlignment="1">
      <alignment horizontal="center"/>
    </xf>
    <xf numFmtId="0" fontId="36" fillId="8" borderId="0" xfId="0" applyFont="1" applyFill="1" applyAlignment="1">
      <alignment horizontal="center"/>
    </xf>
    <xf numFmtId="2" fontId="38" fillId="24" borderId="5" xfId="0" applyNumberFormat="1" applyFont="1" applyFill="1" applyBorder="1" applyAlignment="1">
      <alignment horizontal="center"/>
    </xf>
    <xf numFmtId="0" fontId="5" fillId="2" borderId="2" xfId="0" applyFont="1" applyFill="1" applyBorder="1" applyAlignment="1">
      <alignment horizontal="center"/>
    </xf>
    <xf numFmtId="0" fontId="0" fillId="0" borderId="4" xfId="0" applyBorder="1" applyAlignment="1">
      <alignment horizontal="center"/>
    </xf>
    <xf numFmtId="0" fontId="84" fillId="19" borderId="8" xfId="0" applyFont="1" applyFill="1" applyBorder="1" applyAlignment="1">
      <alignment horizontal="left"/>
    </xf>
    <xf numFmtId="0" fontId="63" fillId="0" borderId="8" xfId="0" applyFont="1" applyBorder="1" applyAlignment="1">
      <alignment horizontal="center"/>
    </xf>
    <xf numFmtId="0" fontId="17" fillId="19" borderId="8" xfId="0" applyFont="1" applyFill="1" applyBorder="1"/>
    <xf numFmtId="0" fontId="84" fillId="13" borderId="8" xfId="0" applyFont="1" applyFill="1" applyBorder="1" applyAlignment="1">
      <alignment horizontal="center"/>
    </xf>
    <xf numFmtId="0" fontId="8" fillId="13" borderId="8" xfId="0" applyFont="1" applyFill="1" applyBorder="1"/>
    <xf numFmtId="0" fontId="8" fillId="0" borderId="8" xfId="0" applyFont="1" applyBorder="1"/>
    <xf numFmtId="0" fontId="8" fillId="19" borderId="8" xfId="0" applyFont="1" applyFill="1" applyBorder="1"/>
    <xf numFmtId="0" fontId="63" fillId="0" borderId="8" xfId="0" applyFont="1" applyBorder="1" applyAlignment="1">
      <alignment horizontal="left"/>
    </xf>
    <xf numFmtId="0" fontId="3" fillId="0" borderId="0" xfId="0" applyFont="1" applyAlignment="1">
      <alignment horizontal="right"/>
    </xf>
    <xf numFmtId="0" fontId="22" fillId="0" borderId="0" xfId="0" applyFont="1" applyAlignment="1">
      <alignment horizontal="center"/>
    </xf>
    <xf numFmtId="0" fontId="22" fillId="0" borderId="0" xfId="0" applyFont="1"/>
    <xf numFmtId="0" fontId="63" fillId="0" borderId="12" xfId="0" applyFont="1" applyBorder="1" applyAlignment="1">
      <alignment horizontal="center"/>
    </xf>
    <xf numFmtId="0" fontId="17" fillId="19" borderId="12" xfId="0" applyFont="1" applyFill="1" applyBorder="1"/>
    <xf numFmtId="0" fontId="63" fillId="0" borderId="12" xfId="0" applyFont="1" applyBorder="1" applyAlignment="1">
      <alignment horizontal="left"/>
    </xf>
    <xf numFmtId="0" fontId="20" fillId="0" borderId="0" xfId="0" applyFont="1"/>
    <xf numFmtId="0" fontId="27" fillId="0" borderId="0" xfId="0" applyFont="1"/>
    <xf numFmtId="0" fontId="28" fillId="0" borderId="8" xfId="0" applyFont="1" applyBorder="1"/>
    <xf numFmtId="0" fontId="5" fillId="0" borderId="0" xfId="0" applyFont="1" applyAlignment="1">
      <alignment horizontal="right"/>
    </xf>
    <xf numFmtId="49" fontId="33" fillId="0" borderId="0" xfId="0" applyNumberFormat="1" applyFont="1" applyAlignment="1">
      <alignment horizontal="center" wrapText="1"/>
    </xf>
    <xf numFmtId="2" fontId="64" fillId="0" borderId="0" xfId="0" applyNumberFormat="1" applyFont="1" applyAlignment="1">
      <alignment horizontal="center" vertical="center"/>
    </xf>
    <xf numFmtId="49" fontId="33" fillId="0" borderId="0" xfId="0" applyNumberFormat="1" applyFont="1" applyAlignment="1">
      <alignment horizontal="center" vertical="center" wrapText="1"/>
    </xf>
    <xf numFmtId="2" fontId="64" fillId="0" borderId="0" xfId="0" applyNumberFormat="1" applyFont="1" applyAlignment="1">
      <alignment vertical="center"/>
    </xf>
    <xf numFmtId="0" fontId="87" fillId="21" borderId="0" xfId="0" applyFont="1" applyFill="1" applyAlignment="1">
      <alignment horizontal="center"/>
    </xf>
    <xf numFmtId="0" fontId="34" fillId="6" borderId="5" xfId="0" applyFont="1" applyFill="1" applyBorder="1" applyAlignment="1">
      <alignment horizontal="center" vertical="center" wrapText="1"/>
    </xf>
    <xf numFmtId="49" fontId="42" fillId="16" borderId="0" xfId="0" applyNumberFormat="1" applyFont="1" applyFill="1" applyAlignment="1">
      <alignment horizontal="center" wrapText="1"/>
    </xf>
    <xf numFmtId="49" fontId="33" fillId="15" borderId="5" xfId="0" applyNumberFormat="1" applyFont="1" applyFill="1" applyBorder="1" applyAlignment="1">
      <alignment horizontal="center" wrapText="1"/>
    </xf>
    <xf numFmtId="49" fontId="5" fillId="12" borderId="5" xfId="0" applyNumberFormat="1" applyFont="1" applyFill="1" applyBorder="1" applyAlignment="1">
      <alignment horizontal="center" wrapText="1"/>
    </xf>
    <xf numFmtId="0" fontId="39" fillId="0" borderId="0" xfId="0" applyFont="1"/>
    <xf numFmtId="0" fontId="0" fillId="12" borderId="22" xfId="0" applyFill="1" applyBorder="1"/>
    <xf numFmtId="0" fontId="28" fillId="11" borderId="8" xfId="0" applyFont="1" applyFill="1" applyBorder="1"/>
    <xf numFmtId="0" fontId="8" fillId="7" borderId="0" xfId="0" applyFont="1" applyFill="1"/>
    <xf numFmtId="0" fontId="28" fillId="11" borderId="0" xfId="0" applyFont="1" applyFill="1" applyAlignment="1">
      <alignment horizontal="center" wrapText="1"/>
    </xf>
    <xf numFmtId="0" fontId="5" fillId="11" borderId="8" xfId="0" applyFont="1" applyFill="1" applyBorder="1" applyAlignment="1">
      <alignment horizontal="center" wrapText="1"/>
    </xf>
    <xf numFmtId="0" fontId="28" fillId="13" borderId="8" xfId="0" applyFont="1" applyFill="1" applyBorder="1"/>
    <xf numFmtId="0" fontId="71" fillId="11" borderId="8" xfId="0" applyFont="1" applyFill="1" applyBorder="1" applyAlignment="1">
      <alignment horizontal="center"/>
    </xf>
    <xf numFmtId="0" fontId="17" fillId="0" borderId="0" xfId="0" applyFont="1"/>
    <xf numFmtId="0" fontId="65" fillId="0" borderId="8" xfId="0" applyFont="1" applyBorder="1"/>
    <xf numFmtId="0" fontId="44" fillId="13" borderId="8" xfId="0" applyFont="1" applyFill="1" applyBorder="1"/>
    <xf numFmtId="0" fontId="48" fillId="13" borderId="8" xfId="0" applyFont="1" applyFill="1" applyBorder="1"/>
    <xf numFmtId="0" fontId="44" fillId="18" borderId="8" xfId="0" applyFont="1" applyFill="1" applyBorder="1"/>
    <xf numFmtId="0" fontId="48" fillId="18" borderId="8" xfId="0" applyFont="1" applyFill="1" applyBorder="1"/>
    <xf numFmtId="0" fontId="29" fillId="0" borderId="0" xfId="0" applyFont="1" applyAlignment="1">
      <alignment horizontal="center"/>
    </xf>
    <xf numFmtId="0" fontId="42" fillId="18" borderId="8" xfId="0" applyFont="1" applyFill="1" applyBorder="1"/>
    <xf numFmtId="0" fontId="12" fillId="0" borderId="0" xfId="0" applyFont="1" applyAlignment="1">
      <alignment wrapText="1"/>
    </xf>
    <xf numFmtId="0" fontId="44" fillId="12" borderId="8" xfId="0" applyFont="1" applyFill="1" applyBorder="1" applyAlignment="1">
      <alignment horizontal="right"/>
    </xf>
    <xf numFmtId="0" fontId="64" fillId="0" borderId="0" xfId="0" applyFont="1" applyAlignment="1">
      <alignment horizontal="center" vertical="center" wrapText="1"/>
    </xf>
    <xf numFmtId="2" fontId="103" fillId="0" borderId="0" xfId="0" applyNumberFormat="1" applyFont="1"/>
    <xf numFmtId="0" fontId="12" fillId="0" borderId="0" xfId="0" applyFont="1" applyAlignment="1">
      <alignment vertical="center" wrapText="1"/>
    </xf>
    <xf numFmtId="0" fontId="64" fillId="0" borderId="0" xfId="0" applyFont="1" applyAlignment="1">
      <alignment vertical="center"/>
    </xf>
    <xf numFmtId="0" fontId="64" fillId="0" borderId="0" xfId="0" applyFont="1" applyAlignment="1">
      <alignment horizontal="center" vertical="center"/>
    </xf>
    <xf numFmtId="0" fontId="25" fillId="0" borderId="0" xfId="0" applyFont="1"/>
    <xf numFmtId="0" fontId="26" fillId="0" borderId="0" xfId="0" applyFont="1"/>
    <xf numFmtId="49" fontId="5" fillId="0" borderId="0" xfId="0" applyNumberFormat="1" applyFont="1" applyAlignment="1">
      <alignment horizontal="center"/>
    </xf>
    <xf numFmtId="0" fontId="34" fillId="6" borderId="5" xfId="0" applyFont="1" applyFill="1" applyBorder="1" applyAlignment="1">
      <alignment horizontal="center" wrapText="1"/>
    </xf>
    <xf numFmtId="0" fontId="44" fillId="0" borderId="0" xfId="0" applyFont="1" applyAlignment="1">
      <alignment horizontal="center" vertical="center" wrapText="1"/>
    </xf>
    <xf numFmtId="49" fontId="33" fillId="15" borderId="5" xfId="0" applyNumberFormat="1" applyFont="1" applyFill="1" applyBorder="1" applyAlignment="1">
      <alignment horizontal="center" vertical="center" wrapText="1"/>
    </xf>
    <xf numFmtId="49" fontId="3" fillId="0" borderId="0" xfId="0" applyNumberFormat="1" applyFont="1" applyAlignment="1">
      <alignment horizontal="center" wrapText="1"/>
    </xf>
    <xf numFmtId="49" fontId="4" fillId="12" borderId="5" xfId="0" applyNumberFormat="1" applyFont="1" applyFill="1" applyBorder="1" applyAlignment="1">
      <alignment horizontal="center" vertical="center" wrapText="1"/>
    </xf>
    <xf numFmtId="49" fontId="44" fillId="0" borderId="0" xfId="0" applyNumberFormat="1" applyFont="1" applyAlignment="1">
      <alignment horizontal="center" wrapText="1"/>
    </xf>
    <xf numFmtId="0" fontId="69" fillId="0" borderId="0" xfId="0" applyFont="1"/>
    <xf numFmtId="0" fontId="5" fillId="0" borderId="1" xfId="0" applyFont="1" applyBorder="1"/>
    <xf numFmtId="0" fontId="54" fillId="12" borderId="22" xfId="0" applyFont="1" applyFill="1" applyBorder="1"/>
    <xf numFmtId="0" fontId="28" fillId="0" borderId="8" xfId="0" applyFont="1" applyBorder="1" applyAlignment="1">
      <alignment horizontal="center" wrapText="1"/>
    </xf>
    <xf numFmtId="0" fontId="28" fillId="16" borderId="8" xfId="0" applyFont="1" applyFill="1" applyBorder="1"/>
    <xf numFmtId="0" fontId="28" fillId="0" borderId="0" xfId="0" applyFont="1" applyAlignment="1">
      <alignment horizontal="center" wrapText="1"/>
    </xf>
    <xf numFmtId="2" fontId="5" fillId="0" borderId="3" xfId="0" applyNumberFormat="1" applyFont="1" applyBorder="1"/>
    <xf numFmtId="2" fontId="5" fillId="0" borderId="7" xfId="0" applyNumberFormat="1" applyFont="1" applyBorder="1"/>
    <xf numFmtId="0" fontId="42" fillId="15" borderId="8" xfId="0" applyFont="1" applyFill="1" applyBorder="1" applyAlignment="1">
      <alignment horizontal="center" wrapText="1"/>
    </xf>
    <xf numFmtId="0" fontId="28" fillId="15" borderId="8" xfId="0" applyFont="1" applyFill="1" applyBorder="1" applyAlignment="1">
      <alignment horizontal="center" wrapText="1"/>
    </xf>
    <xf numFmtId="0" fontId="28" fillId="7" borderId="0" xfId="0" applyFont="1" applyFill="1" applyAlignment="1">
      <alignment horizontal="center" wrapText="1"/>
    </xf>
    <xf numFmtId="0" fontId="28" fillId="7" borderId="0" xfId="0" applyFont="1" applyFill="1"/>
    <xf numFmtId="0" fontId="28" fillId="2" borderId="0" xfId="0" applyFont="1" applyFill="1" applyAlignment="1">
      <alignment horizontal="center" wrapText="1"/>
    </xf>
    <xf numFmtId="0" fontId="28" fillId="9" borderId="0" xfId="0" applyFont="1" applyFill="1" applyAlignment="1">
      <alignment horizontal="center" wrapText="1"/>
    </xf>
    <xf numFmtId="0" fontId="44" fillId="8" borderId="0" xfId="0" applyFont="1" applyFill="1"/>
    <xf numFmtId="2" fontId="70" fillId="0" borderId="0" xfId="0" applyNumberFormat="1" applyFont="1" applyAlignment="1">
      <alignment horizontal="center"/>
    </xf>
    <xf numFmtId="2" fontId="70" fillId="0" borderId="5" xfId="0" applyNumberFormat="1" applyFont="1" applyBorder="1" applyAlignment="1">
      <alignment horizontal="center"/>
    </xf>
    <xf numFmtId="0" fontId="5" fillId="2" borderId="13" xfId="0" applyFont="1" applyFill="1" applyBorder="1" applyAlignment="1">
      <alignment horizontal="center"/>
    </xf>
    <xf numFmtId="0" fontId="5" fillId="11" borderId="7" xfId="0" applyFont="1" applyFill="1" applyBorder="1" applyAlignment="1">
      <alignment horizontal="center"/>
    </xf>
    <xf numFmtId="0" fontId="5" fillId="16" borderId="7" xfId="0" applyFont="1" applyFill="1" applyBorder="1" applyAlignment="1">
      <alignment horizontal="center"/>
    </xf>
    <xf numFmtId="0" fontId="5" fillId="14" borderId="7" xfId="0" applyFont="1" applyFill="1" applyBorder="1" applyAlignment="1">
      <alignment horizontal="center"/>
    </xf>
    <xf numFmtId="0" fontId="5" fillId="2" borderId="8" xfId="0" applyFont="1" applyFill="1" applyBorder="1" applyAlignment="1">
      <alignment horizontal="center"/>
    </xf>
    <xf numFmtId="0" fontId="66" fillId="0" borderId="0" xfId="0" applyFont="1" applyAlignment="1">
      <alignment horizontal="center"/>
    </xf>
    <xf numFmtId="0" fontId="66" fillId="7" borderId="8" xfId="0" applyFont="1" applyFill="1" applyBorder="1" applyAlignment="1">
      <alignment horizontal="center"/>
    </xf>
    <xf numFmtId="0" fontId="5" fillId="13" borderId="0" xfId="0" applyFont="1" applyFill="1" applyAlignment="1">
      <alignment horizontal="center"/>
    </xf>
    <xf numFmtId="0" fontId="66" fillId="11" borderId="8" xfId="0" applyFont="1" applyFill="1" applyBorder="1" applyAlignment="1">
      <alignment horizontal="center"/>
    </xf>
    <xf numFmtId="0" fontId="69" fillId="7" borderId="8" xfId="0" applyFont="1" applyFill="1" applyBorder="1"/>
    <xf numFmtId="0" fontId="69" fillId="2" borderId="8" xfId="0" applyFont="1" applyFill="1" applyBorder="1"/>
    <xf numFmtId="0" fontId="71" fillId="9" borderId="8" xfId="0" applyFont="1" applyFill="1" applyBorder="1" applyAlignment="1">
      <alignment horizontal="center"/>
    </xf>
    <xf numFmtId="0" fontId="71" fillId="0" borderId="8" xfId="0" applyFont="1" applyBorder="1" applyAlignment="1">
      <alignment horizontal="center"/>
    </xf>
    <xf numFmtId="0" fontId="71" fillId="0" borderId="0" xfId="0" applyFont="1" applyAlignment="1">
      <alignment horizontal="center"/>
    </xf>
    <xf numFmtId="0" fontId="71" fillId="9" borderId="0" xfId="0" applyFont="1" applyFill="1" applyAlignment="1">
      <alignment horizontal="center"/>
    </xf>
    <xf numFmtId="0" fontId="71" fillId="8" borderId="0" xfId="0" applyFont="1" applyFill="1" applyAlignment="1">
      <alignment horizontal="center"/>
    </xf>
    <xf numFmtId="2" fontId="44" fillId="2" borderId="5" xfId="0" applyNumberFormat="1" applyFont="1" applyFill="1" applyBorder="1" applyAlignment="1">
      <alignment horizontal="center"/>
    </xf>
    <xf numFmtId="2" fontId="44" fillId="7" borderId="14" xfId="0" applyNumberFormat="1" applyFont="1" applyFill="1" applyBorder="1" applyAlignment="1">
      <alignment horizontal="center"/>
    </xf>
    <xf numFmtId="0" fontId="66" fillId="7" borderId="0" xfId="0" applyFont="1" applyFill="1" applyAlignment="1">
      <alignment horizontal="center"/>
    </xf>
    <xf numFmtId="2" fontId="44" fillId="7" borderId="5" xfId="0" applyNumberFormat="1" applyFont="1" applyFill="1" applyBorder="1" applyAlignment="1">
      <alignment horizontal="center"/>
    </xf>
    <xf numFmtId="0" fontId="75" fillId="0" borderId="7" xfId="0" applyFont="1" applyBorder="1"/>
    <xf numFmtId="0" fontId="5" fillId="13" borderId="16" xfId="0" applyFont="1" applyFill="1" applyBorder="1" applyAlignment="1">
      <alignment horizontal="center"/>
    </xf>
    <xf numFmtId="49" fontId="3" fillId="4" borderId="16" xfId="0" applyNumberFormat="1" applyFont="1" applyFill="1" applyBorder="1" applyAlignment="1">
      <alignment horizontal="center" wrapText="1"/>
    </xf>
    <xf numFmtId="0" fontId="0" fillId="0" borderId="10" xfId="0" applyBorder="1" applyAlignment="1">
      <alignment horizontal="center"/>
    </xf>
    <xf numFmtId="0" fontId="28" fillId="0" borderId="1" xfId="0" applyFont="1" applyBorder="1"/>
    <xf numFmtId="0" fontId="28" fillId="12" borderId="8" xfId="0" applyFont="1" applyFill="1" applyBorder="1"/>
    <xf numFmtId="2" fontId="14" fillId="0" borderId="0" xfId="0" applyNumberFormat="1" applyFont="1" applyAlignment="1">
      <alignment horizontal="center"/>
    </xf>
    <xf numFmtId="49" fontId="4" fillId="12" borderId="5" xfId="0" applyNumberFormat="1" applyFont="1" applyFill="1" applyBorder="1" applyAlignment="1">
      <alignment horizontal="center" wrapText="1"/>
    </xf>
    <xf numFmtId="49" fontId="44" fillId="4" borderId="5" xfId="0" applyNumberFormat="1" applyFont="1" applyFill="1" applyBorder="1" applyAlignment="1">
      <alignment horizontal="center" wrapText="1"/>
    </xf>
    <xf numFmtId="49" fontId="44" fillId="4" borderId="14" xfId="0" applyNumberFormat="1" applyFont="1" applyFill="1" applyBorder="1" applyAlignment="1">
      <alignment horizontal="center" wrapText="1"/>
    </xf>
    <xf numFmtId="49" fontId="44" fillId="4" borderId="6" xfId="0" applyNumberFormat="1" applyFont="1" applyFill="1" applyBorder="1" applyAlignment="1">
      <alignment horizontal="center" wrapText="1"/>
    </xf>
    <xf numFmtId="0" fontId="44" fillId="0" borderId="0" xfId="0" applyFont="1" applyAlignment="1">
      <alignment horizontal="center"/>
    </xf>
    <xf numFmtId="0" fontId="44" fillId="11" borderId="0" xfId="0" applyFont="1" applyFill="1"/>
    <xf numFmtId="0" fontId="28" fillId="0" borderId="21" xfId="0" applyFont="1" applyBorder="1" applyAlignment="1">
      <alignment horizontal="center" wrapText="1"/>
    </xf>
    <xf numFmtId="49" fontId="5" fillId="4" borderId="5" xfId="0" applyNumberFormat="1" applyFont="1" applyFill="1" applyBorder="1" applyAlignment="1">
      <alignment horizontal="center" wrapText="1"/>
    </xf>
    <xf numFmtId="0" fontId="28" fillId="11" borderId="19" xfId="0" applyFont="1" applyFill="1" applyBorder="1"/>
    <xf numFmtId="0" fontId="28" fillId="11" borderId="20" xfId="0" applyFont="1" applyFill="1" applyBorder="1"/>
    <xf numFmtId="0" fontId="28" fillId="0" borderId="4" xfId="0" applyFont="1" applyBorder="1" applyAlignment="1">
      <alignment horizontal="center" wrapText="1"/>
    </xf>
    <xf numFmtId="0" fontId="0" fillId="11" borderId="8" xfId="0" applyFill="1" applyBorder="1" applyAlignment="1">
      <alignment horizontal="center" wrapText="1"/>
    </xf>
    <xf numFmtId="0" fontId="28" fillId="0" borderId="2" xfId="0" applyFont="1" applyBorder="1"/>
    <xf numFmtId="0" fontId="28" fillId="0" borderId="3" xfId="0" applyFont="1" applyBorder="1"/>
    <xf numFmtId="0" fontId="44" fillId="2" borderId="5" xfId="0" applyFont="1" applyFill="1" applyBorder="1" applyAlignment="1">
      <alignment horizontal="center"/>
    </xf>
    <xf numFmtId="0" fontId="44" fillId="2" borderId="0" xfId="0" applyFont="1" applyFill="1" applyAlignment="1">
      <alignment horizontal="center"/>
    </xf>
    <xf numFmtId="0" fontId="71" fillId="2" borderId="8" xfId="0" applyFont="1" applyFill="1" applyBorder="1" applyAlignment="1">
      <alignment horizontal="center"/>
    </xf>
    <xf numFmtId="0" fontId="36" fillId="13" borderId="0" xfId="0" applyFont="1" applyFill="1" applyAlignment="1">
      <alignment horizontal="center"/>
    </xf>
    <xf numFmtId="0" fontId="9" fillId="0" borderId="0" xfId="0" applyFont="1"/>
    <xf numFmtId="0" fontId="84" fillId="0" borderId="0" xfId="0" applyFont="1" applyAlignment="1">
      <alignment horizontal="center"/>
    </xf>
    <xf numFmtId="0" fontId="42" fillId="13" borderId="8" xfId="0" applyFont="1" applyFill="1" applyBorder="1"/>
    <xf numFmtId="0" fontId="42" fillId="12" borderId="8" xfId="0" applyFont="1" applyFill="1" applyBorder="1" applyAlignment="1">
      <alignment horizontal="center" wrapText="1"/>
    </xf>
    <xf numFmtId="0" fontId="44" fillId="12" borderId="8" xfId="0" applyFont="1" applyFill="1" applyBorder="1" applyAlignment="1">
      <alignment horizontal="center" wrapText="1"/>
    </xf>
    <xf numFmtId="0" fontId="15" fillId="0" borderId="0" xfId="0" applyFont="1" applyAlignment="1">
      <alignment horizontal="center" vertical="center" wrapText="1"/>
    </xf>
    <xf numFmtId="0" fontId="83" fillId="0" borderId="0" xfId="0" applyFont="1" applyAlignment="1">
      <alignment vertical="center"/>
    </xf>
    <xf numFmtId="2" fontId="64" fillId="0" borderId="0" xfId="0" applyNumberFormat="1" applyFont="1" applyAlignment="1">
      <alignment horizontal="center"/>
    </xf>
    <xf numFmtId="0" fontId="66" fillId="0" borderId="0" xfId="0" applyFont="1" applyAlignment="1">
      <alignment wrapText="1"/>
    </xf>
    <xf numFmtId="0" fontId="64" fillId="0" borderId="0" xfId="0" applyFont="1"/>
    <xf numFmtId="0" fontId="64" fillId="0" borderId="0" xfId="0" applyFont="1" applyAlignment="1">
      <alignment horizontal="center"/>
    </xf>
    <xf numFmtId="2" fontId="64" fillId="0" borderId="0" xfId="0" applyNumberFormat="1" applyFont="1"/>
    <xf numFmtId="0" fontId="4" fillId="2" borderId="13" xfId="0" applyFont="1" applyFill="1" applyBorder="1" applyAlignment="1">
      <alignment horizontal="center" vertical="center"/>
    </xf>
    <xf numFmtId="49" fontId="33" fillId="12" borderId="5" xfId="0" applyNumberFormat="1" applyFont="1" applyFill="1" applyBorder="1" applyAlignment="1">
      <alignment horizontal="center" vertical="center" wrapText="1"/>
    </xf>
    <xf numFmtId="49" fontId="44" fillId="4" borderId="5" xfId="0" applyNumberFormat="1" applyFont="1" applyFill="1" applyBorder="1" applyAlignment="1">
      <alignment horizontal="center" vertical="center" wrapText="1"/>
    </xf>
    <xf numFmtId="49" fontId="44" fillId="4" borderId="14" xfId="0" applyNumberFormat="1" applyFont="1" applyFill="1" applyBorder="1" applyAlignment="1">
      <alignment horizontal="center" vertical="center" wrapText="1"/>
    </xf>
    <xf numFmtId="49" fontId="44" fillId="4" borderId="6" xfId="0" applyNumberFormat="1" applyFont="1" applyFill="1" applyBorder="1" applyAlignment="1">
      <alignment horizontal="center" vertical="center" wrapText="1"/>
    </xf>
    <xf numFmtId="0" fontId="44" fillId="0" borderId="0" xfId="0" applyFont="1" applyAlignment="1">
      <alignment horizontal="center" vertical="center"/>
    </xf>
    <xf numFmtId="2" fontId="5" fillId="0" borderId="4" xfId="0" applyNumberFormat="1" applyFont="1" applyBorder="1"/>
    <xf numFmtId="49" fontId="5" fillId="12" borderId="22" xfId="0" applyNumberFormat="1" applyFont="1" applyFill="1" applyBorder="1" applyAlignment="1">
      <alignment horizontal="center" wrapText="1"/>
    </xf>
    <xf numFmtId="49" fontId="5" fillId="4" borderId="22" xfId="0" applyNumberFormat="1" applyFont="1" applyFill="1" applyBorder="1" applyAlignment="1">
      <alignment horizontal="center" wrapText="1"/>
    </xf>
    <xf numFmtId="0" fontId="28" fillId="12" borderId="12" xfId="0" applyFont="1" applyFill="1" applyBorder="1" applyAlignment="1">
      <alignment horizontal="center" wrapText="1"/>
    </xf>
    <xf numFmtId="2" fontId="70" fillId="0" borderId="22" xfId="0" applyNumberFormat="1" applyFont="1" applyBorder="1" applyAlignment="1">
      <alignment horizontal="center" vertical="center"/>
    </xf>
    <xf numFmtId="0" fontId="42" fillId="11" borderId="17" xfId="0" applyFont="1" applyFill="1" applyBorder="1"/>
    <xf numFmtId="0" fontId="42" fillId="11" borderId="18" xfId="0" applyFont="1" applyFill="1" applyBorder="1"/>
    <xf numFmtId="0" fontId="28" fillId="0" borderId="13" xfId="0" applyFont="1" applyBorder="1"/>
    <xf numFmtId="0" fontId="42" fillId="11" borderId="2" xfId="0" applyFont="1" applyFill="1" applyBorder="1"/>
    <xf numFmtId="0" fontId="28" fillId="0" borderId="16" xfId="0" applyFont="1" applyBorder="1"/>
    <xf numFmtId="0" fontId="66" fillId="0" borderId="1" xfId="0" applyFont="1" applyBorder="1" applyAlignment="1">
      <alignment horizontal="center"/>
    </xf>
    <xf numFmtId="0" fontId="42" fillId="11" borderId="1" xfId="0" applyFont="1" applyFill="1" applyBorder="1" applyAlignment="1">
      <alignment horizontal="center"/>
    </xf>
    <xf numFmtId="0" fontId="79" fillId="14" borderId="0" xfId="0" applyFont="1" applyFill="1"/>
    <xf numFmtId="0" fontId="28" fillId="12" borderId="0" xfId="0" applyFont="1" applyFill="1"/>
    <xf numFmtId="0" fontId="66" fillId="7" borderId="1" xfId="0" applyFont="1" applyFill="1" applyBorder="1" applyAlignment="1">
      <alignment horizontal="center"/>
    </xf>
    <xf numFmtId="0" fontId="12" fillId="12" borderId="1" xfId="0" applyFont="1" applyFill="1" applyBorder="1" applyAlignment="1">
      <alignment horizontal="center"/>
    </xf>
    <xf numFmtId="0" fontId="69" fillId="7" borderId="25" xfId="0" applyFont="1" applyFill="1" applyBorder="1"/>
    <xf numFmtId="0" fontId="69" fillId="2" borderId="25" xfId="0" applyFont="1" applyFill="1" applyBorder="1"/>
    <xf numFmtId="0" fontId="71" fillId="9" borderId="25" xfId="0" applyFont="1" applyFill="1" applyBorder="1" applyAlignment="1">
      <alignment horizontal="center"/>
    </xf>
    <xf numFmtId="0" fontId="71" fillId="0" borderId="25" xfId="0" applyFont="1" applyBorder="1" applyAlignment="1">
      <alignment horizontal="center"/>
    </xf>
    <xf numFmtId="0" fontId="71" fillId="0" borderId="1" xfId="0" applyFont="1" applyBorder="1" applyAlignment="1">
      <alignment horizontal="center"/>
    </xf>
    <xf numFmtId="0" fontId="71" fillId="9" borderId="1" xfId="0" applyFont="1" applyFill="1" applyBorder="1" applyAlignment="1">
      <alignment horizontal="center"/>
    </xf>
    <xf numFmtId="0" fontId="71" fillId="8" borderId="1" xfId="0" applyFont="1" applyFill="1" applyBorder="1" applyAlignment="1">
      <alignment horizontal="center"/>
    </xf>
    <xf numFmtId="0" fontId="5" fillId="0" borderId="0" xfId="0" applyFont="1" applyAlignment="1">
      <alignment horizontal="center"/>
    </xf>
    <xf numFmtId="2" fontId="44" fillId="0" borderId="0" xfId="0" applyNumberFormat="1" applyFont="1" applyAlignment="1">
      <alignment horizontal="center"/>
    </xf>
    <xf numFmtId="0" fontId="19" fillId="0" borderId="0" xfId="0" applyFont="1"/>
    <xf numFmtId="0" fontId="74" fillId="0" borderId="7" xfId="0" applyFont="1" applyBorder="1" applyAlignment="1">
      <alignment wrapText="1"/>
    </xf>
    <xf numFmtId="0" fontId="74" fillId="0" borderId="16" xfId="0" applyFont="1" applyBorder="1" applyAlignment="1">
      <alignment horizontal="center"/>
    </xf>
    <xf numFmtId="0" fontId="33" fillId="23" borderId="5" xfId="0" applyFont="1" applyFill="1" applyBorder="1" applyAlignment="1">
      <alignment horizontal="left"/>
    </xf>
    <xf numFmtId="49" fontId="33" fillId="12" borderId="5" xfId="0" applyNumberFormat="1" applyFont="1" applyFill="1" applyBorder="1" applyAlignment="1">
      <alignment horizontal="center" wrapText="1"/>
    </xf>
    <xf numFmtId="0" fontId="54" fillId="0" borderId="22" xfId="0" applyFont="1" applyBorder="1"/>
    <xf numFmtId="49" fontId="5" fillId="12" borderId="5" xfId="0" applyNumberFormat="1" applyFont="1" applyFill="1" applyBorder="1" applyAlignment="1">
      <alignment horizontal="center" vertical="center" wrapText="1"/>
    </xf>
    <xf numFmtId="0" fontId="28" fillId="17" borderId="0" xfId="0" applyFont="1" applyFill="1" applyAlignment="1">
      <alignment horizontal="center" wrapText="1"/>
    </xf>
    <xf numFmtId="0" fontId="28" fillId="14" borderId="0" xfId="0" applyFont="1" applyFill="1" applyAlignment="1">
      <alignment horizontal="center" wrapText="1"/>
    </xf>
    <xf numFmtId="0" fontId="33" fillId="14" borderId="8" xfId="0" applyFont="1" applyFill="1" applyBorder="1" applyAlignment="1">
      <alignment wrapText="1"/>
    </xf>
    <xf numFmtId="0" fontId="33" fillId="14" borderId="8" xfId="0" applyFont="1" applyFill="1" applyBorder="1" applyAlignment="1">
      <alignment horizontal="center"/>
    </xf>
    <xf numFmtId="49" fontId="101" fillId="12" borderId="5" xfId="0" applyNumberFormat="1" applyFont="1" applyFill="1" applyBorder="1" applyAlignment="1">
      <alignment horizontal="center" wrapText="1"/>
    </xf>
    <xf numFmtId="2" fontId="70" fillId="0" borderId="22" xfId="0" applyNumberFormat="1" applyFont="1" applyBorder="1" applyAlignment="1">
      <alignment horizontal="center"/>
    </xf>
    <xf numFmtId="0" fontId="5" fillId="0" borderId="0" xfId="1" applyFont="1"/>
    <xf numFmtId="0" fontId="1" fillId="0" borderId="0" xfId="1"/>
    <xf numFmtId="0" fontId="84" fillId="19" borderId="0" xfId="2" applyFont="1" applyFill="1" applyAlignment="1">
      <alignment horizontal="center"/>
    </xf>
    <xf numFmtId="0" fontId="20" fillId="12" borderId="8" xfId="1" applyFont="1" applyFill="1" applyBorder="1"/>
    <xf numFmtId="0" fontId="16" fillId="0" borderId="0" xfId="1" applyFont="1" applyAlignment="1">
      <alignment horizontal="center"/>
    </xf>
    <xf numFmtId="0" fontId="21" fillId="0" borderId="0" xfId="1" applyFont="1" applyAlignment="1">
      <alignment horizontal="center"/>
    </xf>
    <xf numFmtId="0" fontId="29" fillId="0" borderId="0" xfId="1" applyFont="1" applyAlignment="1">
      <alignment horizontal="center"/>
    </xf>
    <xf numFmtId="0" fontId="12" fillId="0" borderId="0" xfId="1" applyFont="1" applyAlignment="1">
      <alignment wrapText="1"/>
    </xf>
    <xf numFmtId="0" fontId="13" fillId="0" borderId="0" xfId="1" applyFont="1" applyAlignment="1">
      <alignment horizontal="center"/>
    </xf>
    <xf numFmtId="0" fontId="5" fillId="20" borderId="8" xfId="1" applyFont="1" applyFill="1" applyBorder="1"/>
    <xf numFmtId="0" fontId="3" fillId="0" borderId="0" xfId="1" applyFont="1"/>
    <xf numFmtId="0" fontId="54" fillId="12" borderId="49" xfId="1" applyFont="1" applyFill="1" applyBorder="1"/>
    <xf numFmtId="0" fontId="72" fillId="12" borderId="25" xfId="1" applyFont="1" applyFill="1" applyBorder="1" applyAlignment="1">
      <alignment wrapText="1"/>
    </xf>
    <xf numFmtId="0" fontId="104" fillId="12" borderId="25" xfId="1" applyFont="1" applyFill="1" applyBorder="1"/>
    <xf numFmtId="0" fontId="104" fillId="12" borderId="50" xfId="1" applyFont="1" applyFill="1" applyBorder="1"/>
    <xf numFmtId="0" fontId="54" fillId="12" borderId="51" xfId="1" applyFont="1" applyFill="1" applyBorder="1"/>
    <xf numFmtId="0" fontId="72" fillId="12" borderId="8" xfId="1" applyFont="1" applyFill="1" applyBorder="1" applyAlignment="1">
      <alignment wrapText="1"/>
    </xf>
    <xf numFmtId="0" fontId="54" fillId="12" borderId="8" xfId="1" applyFont="1" applyFill="1" applyBorder="1"/>
    <xf numFmtId="0" fontId="54" fillId="12" borderId="52" xfId="1" applyFont="1" applyFill="1" applyBorder="1"/>
    <xf numFmtId="0" fontId="33" fillId="12" borderId="51" xfId="0" applyFont="1" applyFill="1" applyBorder="1" applyAlignment="1">
      <alignment horizontal="left"/>
    </xf>
    <xf numFmtId="0" fontId="33" fillId="12" borderId="8" xfId="1" applyFont="1" applyFill="1" applyBorder="1"/>
    <xf numFmtId="0" fontId="33" fillId="12" borderId="52" xfId="1" applyFont="1" applyFill="1" applyBorder="1"/>
    <xf numFmtId="0" fontId="54" fillId="12" borderId="53" xfId="1" applyFont="1" applyFill="1" applyBorder="1" applyAlignment="1">
      <alignment horizontal="right"/>
    </xf>
    <xf numFmtId="0" fontId="72" fillId="12" borderId="18" xfId="1" applyFont="1" applyFill="1" applyBorder="1" applyAlignment="1">
      <alignment wrapText="1"/>
    </xf>
    <xf numFmtId="0" fontId="33" fillId="12" borderId="18" xfId="1" applyFont="1" applyFill="1" applyBorder="1"/>
    <xf numFmtId="0" fontId="33" fillId="12" borderId="54" xfId="1" applyFont="1" applyFill="1" applyBorder="1"/>
    <xf numFmtId="0" fontId="14" fillId="0" borderId="0" xfId="1" applyFont="1"/>
    <xf numFmtId="2" fontId="91" fillId="0" borderId="0" xfId="1" applyNumberFormat="1" applyFont="1"/>
    <xf numFmtId="2" fontId="92" fillId="0" borderId="0" xfId="1" applyNumberFormat="1" applyFont="1"/>
    <xf numFmtId="0" fontId="14" fillId="0" borderId="0" xfId="1" applyFont="1" applyAlignment="1">
      <alignment horizontal="center" vertical="center" wrapText="1"/>
    </xf>
    <xf numFmtId="0" fontId="14" fillId="0" borderId="0" xfId="1" applyFont="1" applyAlignment="1">
      <alignment horizontal="center"/>
    </xf>
    <xf numFmtId="0" fontId="81" fillId="0" borderId="0" xfId="2" applyFont="1" applyAlignment="1">
      <alignment horizontal="center"/>
    </xf>
    <xf numFmtId="0" fontId="81" fillId="0" borderId="0" xfId="1" applyFont="1" applyAlignment="1">
      <alignment wrapText="1"/>
    </xf>
    <xf numFmtId="0" fontId="82" fillId="0" borderId="0" xfId="1" applyFont="1"/>
    <xf numFmtId="0" fontId="26" fillId="0" borderId="0" xfId="2" applyFont="1"/>
    <xf numFmtId="0" fontId="41" fillId="0" borderId="0" xfId="1" applyFont="1" applyAlignment="1">
      <alignment vertical="center"/>
    </xf>
    <xf numFmtId="2" fontId="15" fillId="0" borderId="0" xfId="2" applyNumberFormat="1" applyFont="1" applyAlignment="1">
      <alignment horizontal="center"/>
    </xf>
    <xf numFmtId="2" fontId="41" fillId="0" borderId="0" xfId="1" applyNumberFormat="1" applyFont="1" applyAlignment="1">
      <alignment horizontal="center"/>
    </xf>
    <xf numFmtId="0" fontId="25" fillId="0" borderId="0" xfId="1" applyFont="1"/>
    <xf numFmtId="0" fontId="26" fillId="0" borderId="0" xfId="1" applyFont="1"/>
    <xf numFmtId="0" fontId="77" fillId="0" borderId="0" xfId="1" applyFont="1"/>
    <xf numFmtId="2" fontId="1" fillId="0" borderId="0" xfId="1" applyNumberFormat="1"/>
    <xf numFmtId="0" fontId="76" fillId="0" borderId="0" xfId="1" applyFont="1"/>
    <xf numFmtId="49" fontId="5" fillId="0" borderId="0" xfId="1" applyNumberFormat="1" applyFont="1" applyAlignment="1">
      <alignment horizontal="center"/>
    </xf>
    <xf numFmtId="0" fontId="28" fillId="0" borderId="0" xfId="1" applyFont="1" applyAlignment="1">
      <alignment horizontal="right"/>
    </xf>
    <xf numFmtId="2" fontId="14" fillId="0" borderId="0" xfId="1" applyNumberFormat="1" applyFont="1" applyAlignment="1">
      <alignment horizontal="center"/>
    </xf>
    <xf numFmtId="2" fontId="15" fillId="0" borderId="0" xfId="1" applyNumberFormat="1" applyFont="1"/>
    <xf numFmtId="0" fontId="5" fillId="0" borderId="1" xfId="1" applyFont="1" applyBorder="1"/>
    <xf numFmtId="0" fontId="34" fillId="0" borderId="0" xfId="1" applyFont="1" applyAlignment="1">
      <alignment horizontal="center" wrapText="1"/>
    </xf>
    <xf numFmtId="0" fontId="3" fillId="0" borderId="0" xfId="1" applyFont="1" applyAlignment="1">
      <alignment horizontal="center" vertical="center" wrapText="1"/>
    </xf>
    <xf numFmtId="49" fontId="5" fillId="19" borderId="0" xfId="2" applyNumberFormat="1" applyFont="1" applyFill="1" applyAlignment="1">
      <alignment horizontal="center" wrapText="1"/>
    </xf>
    <xf numFmtId="0" fontId="6" fillId="0" borderId="0" xfId="1" applyFont="1"/>
    <xf numFmtId="0" fontId="12" fillId="7" borderId="8" xfId="1" applyFont="1" applyFill="1" applyBorder="1" applyAlignment="1">
      <alignment horizontal="center"/>
    </xf>
    <xf numFmtId="0" fontId="12" fillId="7" borderId="0" xfId="1" applyFont="1" applyFill="1" applyAlignment="1">
      <alignment horizontal="center"/>
    </xf>
    <xf numFmtId="0" fontId="39" fillId="0" borderId="0" xfId="1" applyFont="1"/>
    <xf numFmtId="49" fontId="42" fillId="16" borderId="29" xfId="2" applyNumberFormat="1" applyFont="1" applyFill="1" applyBorder="1" applyAlignment="1">
      <alignment wrapText="1"/>
    </xf>
    <xf numFmtId="49" fontId="33" fillId="15" borderId="5" xfId="1" applyNumberFormat="1" applyFont="1" applyFill="1" applyBorder="1" applyAlignment="1">
      <alignment horizontal="center" wrapText="1"/>
    </xf>
    <xf numFmtId="49" fontId="3" fillId="4" borderId="16" xfId="1" applyNumberFormat="1" applyFont="1" applyFill="1" applyBorder="1" applyAlignment="1">
      <alignment horizontal="center" wrapText="1"/>
    </xf>
    <xf numFmtId="0" fontId="1" fillId="0" borderId="6" xfId="1" applyBorder="1" applyAlignment="1">
      <alignment horizontal="center"/>
    </xf>
    <xf numFmtId="0" fontId="1" fillId="0" borderId="0" xfId="1" applyAlignment="1">
      <alignment horizontal="center"/>
    </xf>
    <xf numFmtId="0" fontId="1" fillId="0" borderId="1" xfId="1" applyBorder="1"/>
    <xf numFmtId="0" fontId="1" fillId="0" borderId="21" xfId="1" applyBorder="1"/>
    <xf numFmtId="0" fontId="1" fillId="0" borderId="0" xfId="1" applyAlignment="1">
      <alignment horizontal="right"/>
    </xf>
    <xf numFmtId="0" fontId="28" fillId="0" borderId="8" xfId="2" applyFont="1" applyBorder="1"/>
    <xf numFmtId="0" fontId="28" fillId="16" borderId="8" xfId="2" applyFont="1" applyFill="1" applyBorder="1"/>
    <xf numFmtId="0" fontId="4" fillId="2" borderId="13" xfId="1" applyFont="1" applyFill="1" applyBorder="1" applyAlignment="1">
      <alignment horizontal="center"/>
    </xf>
    <xf numFmtId="0" fontId="4" fillId="2" borderId="5" xfId="1" applyFont="1" applyFill="1" applyBorder="1" applyAlignment="1">
      <alignment horizontal="center"/>
    </xf>
    <xf numFmtId="0" fontId="4" fillId="0" borderId="0" xfId="1" applyFont="1" applyAlignment="1">
      <alignment horizontal="center"/>
    </xf>
    <xf numFmtId="0" fontId="1" fillId="0" borderId="21" xfId="1" applyBorder="1" applyAlignment="1">
      <alignment horizontal="center" wrapText="1"/>
    </xf>
    <xf numFmtId="0" fontId="8" fillId="0" borderId="0" xfId="1" applyFont="1"/>
    <xf numFmtId="0" fontId="1" fillId="0" borderId="0" xfId="1" applyAlignment="1">
      <alignment horizontal="center" wrapText="1"/>
    </xf>
    <xf numFmtId="0" fontId="28" fillId="0" borderId="0" xfId="2" applyFont="1" applyAlignment="1">
      <alignment horizontal="center" wrapText="1"/>
    </xf>
    <xf numFmtId="0" fontId="8" fillId="15" borderId="0" xfId="1" applyFont="1" applyFill="1"/>
    <xf numFmtId="2" fontId="5" fillId="12" borderId="5" xfId="1" applyNumberFormat="1" applyFont="1" applyFill="1" applyBorder="1"/>
    <xf numFmtId="2" fontId="5" fillId="12" borderId="7" xfId="1" applyNumberFormat="1" applyFont="1" applyFill="1" applyBorder="1"/>
    <xf numFmtId="49" fontId="5" fillId="12" borderId="5" xfId="1" applyNumberFormat="1" applyFont="1" applyFill="1" applyBorder="1" applyAlignment="1">
      <alignment horizontal="center" wrapText="1"/>
    </xf>
    <xf numFmtId="49" fontId="5" fillId="12" borderId="16" xfId="1" applyNumberFormat="1" applyFont="1" applyFill="1" applyBorder="1" applyAlignment="1">
      <alignment horizontal="center" wrapText="1"/>
    </xf>
    <xf numFmtId="49" fontId="5" fillId="12" borderId="13" xfId="1" applyNumberFormat="1" applyFont="1" applyFill="1" applyBorder="1" applyAlignment="1">
      <alignment horizontal="center" wrapText="1"/>
    </xf>
    <xf numFmtId="0" fontId="1" fillId="12" borderId="13" xfId="1" applyFill="1" applyBorder="1"/>
    <xf numFmtId="0" fontId="1" fillId="12" borderId="16" xfId="1" applyFill="1" applyBorder="1" applyAlignment="1">
      <alignment horizontal="center" wrapText="1"/>
    </xf>
    <xf numFmtId="0" fontId="8" fillId="12" borderId="13" xfId="1" applyFont="1" applyFill="1" applyBorder="1"/>
    <xf numFmtId="0" fontId="1" fillId="12" borderId="13" xfId="1" applyFill="1" applyBorder="1" applyAlignment="1">
      <alignment horizontal="center" wrapText="1"/>
    </xf>
    <xf numFmtId="0" fontId="28" fillId="12" borderId="13" xfId="2" applyFont="1" applyFill="1" applyBorder="1" applyAlignment="1">
      <alignment horizontal="center" wrapText="1"/>
    </xf>
    <xf numFmtId="0" fontId="28" fillId="12" borderId="8" xfId="2" applyFont="1" applyFill="1" applyBorder="1" applyAlignment="1">
      <alignment horizontal="center" wrapText="1"/>
    </xf>
    <xf numFmtId="0" fontId="1" fillId="15" borderId="13" xfId="1" applyFill="1" applyBorder="1" applyAlignment="1">
      <alignment horizontal="center" wrapText="1"/>
    </xf>
    <xf numFmtId="0" fontId="1" fillId="15" borderId="13" xfId="1" applyFill="1" applyBorder="1"/>
    <xf numFmtId="0" fontId="3" fillId="15" borderId="13" xfId="1" applyFont="1" applyFill="1" applyBorder="1"/>
    <xf numFmtId="2" fontId="37" fillId="15" borderId="13" xfId="1" applyNumberFormat="1" applyFont="1" applyFill="1" applyBorder="1" applyAlignment="1">
      <alignment horizontal="center"/>
    </xf>
    <xf numFmtId="2" fontId="40" fillId="15" borderId="5" xfId="1" applyNumberFormat="1" applyFont="1" applyFill="1" applyBorder="1" applyAlignment="1">
      <alignment horizontal="center"/>
    </xf>
    <xf numFmtId="0" fontId="5" fillId="2" borderId="14" xfId="1" applyFont="1" applyFill="1" applyBorder="1"/>
    <xf numFmtId="0" fontId="5" fillId="0" borderId="6" xfId="1" applyFont="1" applyBorder="1"/>
    <xf numFmtId="0" fontId="5" fillId="2" borderId="14" xfId="1" applyFont="1" applyFill="1" applyBorder="1" applyAlignment="1">
      <alignment horizontal="center"/>
    </xf>
    <xf numFmtId="0" fontId="1" fillId="0" borderId="2" xfId="1" applyBorder="1"/>
    <xf numFmtId="0" fontId="1" fillId="0" borderId="3" xfId="1" applyBorder="1"/>
    <xf numFmtId="0" fontId="12" fillId="0" borderId="0" xfId="1" applyFont="1" applyAlignment="1">
      <alignment horizontal="center"/>
    </xf>
    <xf numFmtId="0" fontId="35" fillId="7" borderId="15" xfId="1" applyFont="1" applyFill="1" applyBorder="1"/>
    <xf numFmtId="0" fontId="35" fillId="2" borderId="15" xfId="1" applyFont="1" applyFill="1" applyBorder="1"/>
    <xf numFmtId="0" fontId="36" fillId="0" borderId="15" xfId="1" applyFont="1" applyBorder="1" applyAlignment="1">
      <alignment horizontal="center"/>
    </xf>
    <xf numFmtId="0" fontId="36" fillId="0" borderId="0" xfId="1" applyFont="1" applyAlignment="1">
      <alignment horizontal="center"/>
    </xf>
    <xf numFmtId="0" fontId="36" fillId="8" borderId="0" xfId="1" applyFont="1" applyFill="1" applyAlignment="1">
      <alignment horizontal="center"/>
    </xf>
    <xf numFmtId="2" fontId="5" fillId="25" borderId="14" xfId="1" applyNumberFormat="1" applyFont="1" applyFill="1" applyBorder="1" applyAlignment="1">
      <alignment horizontal="center"/>
    </xf>
    <xf numFmtId="0" fontId="5" fillId="2" borderId="16" xfId="1" applyFont="1" applyFill="1" applyBorder="1" applyAlignment="1">
      <alignment horizontal="center"/>
    </xf>
    <xf numFmtId="0" fontId="5" fillId="2" borderId="5" xfId="1" applyFont="1" applyFill="1" applyBorder="1" applyAlignment="1">
      <alignment horizontal="center"/>
    </xf>
    <xf numFmtId="0" fontId="35" fillId="7" borderId="8" xfId="1" applyFont="1" applyFill="1" applyBorder="1"/>
    <xf numFmtId="0" fontId="35" fillId="2" borderId="8" xfId="1" applyFont="1" applyFill="1" applyBorder="1"/>
    <xf numFmtId="0" fontId="36" fillId="0" borderId="8" xfId="1" applyFont="1" applyBorder="1" applyAlignment="1">
      <alignment horizontal="center"/>
    </xf>
    <xf numFmtId="2" fontId="5" fillId="25" borderId="5" xfId="1" applyNumberFormat="1" applyFont="1" applyFill="1" applyBorder="1" applyAlignment="1">
      <alignment horizontal="center"/>
    </xf>
    <xf numFmtId="0" fontId="1" fillId="0" borderId="4" xfId="1" applyBorder="1" applyAlignment="1">
      <alignment horizontal="center"/>
    </xf>
    <xf numFmtId="0" fontId="75" fillId="12" borderId="7" xfId="1" applyFont="1" applyFill="1" applyBorder="1"/>
    <xf numFmtId="49" fontId="33" fillId="0" borderId="0" xfId="1" applyNumberFormat="1" applyFont="1" applyAlignment="1">
      <alignment wrapText="1"/>
    </xf>
    <xf numFmtId="49" fontId="5" fillId="4" borderId="16" xfId="1" applyNumberFormat="1" applyFont="1" applyFill="1" applyBorder="1" applyAlignment="1">
      <alignment horizontal="center" wrapText="1"/>
    </xf>
    <xf numFmtId="0" fontId="1" fillId="0" borderId="10" xfId="1" applyBorder="1" applyAlignment="1">
      <alignment horizontal="center"/>
    </xf>
    <xf numFmtId="0" fontId="4" fillId="0" borderId="0" xfId="1" applyFont="1"/>
    <xf numFmtId="0" fontId="5" fillId="0" borderId="10" xfId="1" applyFont="1" applyBorder="1"/>
    <xf numFmtId="0" fontId="1" fillId="0" borderId="28" xfId="1" applyBorder="1"/>
    <xf numFmtId="0" fontId="5" fillId="11" borderId="20" xfId="1" applyFont="1" applyFill="1" applyBorder="1"/>
    <xf numFmtId="0" fontId="5" fillId="11" borderId="0" xfId="1" applyFont="1" applyFill="1"/>
    <xf numFmtId="0" fontId="1" fillId="0" borderId="4" xfId="1" applyBorder="1" applyAlignment="1">
      <alignment horizontal="center" wrapText="1"/>
    </xf>
    <xf numFmtId="0" fontId="8" fillId="15" borderId="10" xfId="1" applyFont="1" applyFill="1" applyBorder="1"/>
    <xf numFmtId="0" fontId="8" fillId="15" borderId="4" xfId="1" applyFont="1" applyFill="1" applyBorder="1"/>
    <xf numFmtId="0" fontId="1" fillId="12" borderId="23" xfId="1" applyFill="1" applyBorder="1"/>
    <xf numFmtId="0" fontId="1" fillId="12" borderId="24" xfId="1" applyFill="1" applyBorder="1"/>
    <xf numFmtId="0" fontId="3" fillId="12" borderId="13" xfId="1" applyFont="1" applyFill="1" applyBorder="1"/>
    <xf numFmtId="0" fontId="5" fillId="15" borderId="24" xfId="1" applyFont="1" applyFill="1" applyBorder="1" applyAlignment="1">
      <alignment horizontal="center" wrapText="1"/>
    </xf>
    <xf numFmtId="0" fontId="8" fillId="15" borderId="24" xfId="1" applyFont="1" applyFill="1" applyBorder="1" applyAlignment="1">
      <alignment horizontal="center" wrapText="1"/>
    </xf>
    <xf numFmtId="0" fontId="5" fillId="2" borderId="2" xfId="1" applyFont="1" applyFill="1" applyBorder="1" applyAlignment="1">
      <alignment horizontal="center"/>
    </xf>
    <xf numFmtId="0" fontId="1" fillId="11" borderId="26" xfId="1" applyFill="1" applyBorder="1"/>
    <xf numFmtId="0" fontId="1" fillId="11" borderId="27" xfId="1" applyFill="1" applyBorder="1"/>
    <xf numFmtId="0" fontId="5" fillId="11" borderId="2" xfId="1" applyFont="1" applyFill="1" applyBorder="1"/>
    <xf numFmtId="0" fontId="5" fillId="2" borderId="0" xfId="1" applyFont="1" applyFill="1" applyAlignment="1">
      <alignment horizontal="center"/>
    </xf>
    <xf numFmtId="0" fontId="5" fillId="11" borderId="0" xfId="1" applyFont="1" applyFill="1" applyAlignment="1">
      <alignment horizontal="center"/>
    </xf>
    <xf numFmtId="0" fontId="36" fillId="11" borderId="0" xfId="1" applyFont="1" applyFill="1" applyAlignment="1">
      <alignment horizontal="center"/>
    </xf>
    <xf numFmtId="0" fontId="36" fillId="2" borderId="15" xfId="1" applyFont="1" applyFill="1" applyBorder="1" applyAlignment="1">
      <alignment horizontal="center"/>
    </xf>
    <xf numFmtId="2" fontId="5" fillId="2" borderId="14" xfId="1" applyNumberFormat="1" applyFont="1" applyFill="1" applyBorder="1" applyAlignment="1">
      <alignment horizontal="center"/>
    </xf>
    <xf numFmtId="0" fontId="5" fillId="2" borderId="5" xfId="1" applyFont="1" applyFill="1" applyBorder="1"/>
    <xf numFmtId="0" fontId="1" fillId="11" borderId="17" xfId="1" applyFill="1" applyBorder="1"/>
    <xf numFmtId="0" fontId="1" fillId="11" borderId="18" xfId="1" applyFill="1" applyBorder="1"/>
    <xf numFmtId="0" fontId="36" fillId="2" borderId="8" xfId="1" applyFont="1" applyFill="1" applyBorder="1" applyAlignment="1">
      <alignment horizontal="center"/>
    </xf>
    <xf numFmtId="2" fontId="5" fillId="2" borderId="5" xfId="1" applyNumberFormat="1" applyFont="1" applyFill="1" applyBorder="1" applyAlignment="1">
      <alignment horizontal="center"/>
    </xf>
    <xf numFmtId="0" fontId="28" fillId="7" borderId="8" xfId="0" applyFont="1" applyFill="1" applyBorder="1"/>
    <xf numFmtId="0" fontId="5" fillId="2" borderId="0" xfId="0" applyFont="1" applyFill="1" applyAlignment="1">
      <alignment horizontal="center"/>
    </xf>
    <xf numFmtId="0" fontId="69" fillId="2" borderId="0" xfId="0" applyFont="1" applyFill="1"/>
    <xf numFmtId="0" fontId="71" fillId="11" borderId="0" xfId="0" applyFont="1" applyFill="1" applyAlignment="1">
      <alignment horizontal="center"/>
    </xf>
    <xf numFmtId="2" fontId="44" fillId="2" borderId="0" xfId="0" applyNumberFormat="1" applyFont="1" applyFill="1" applyAlignment="1">
      <alignment horizontal="center"/>
    </xf>
    <xf numFmtId="2" fontId="44" fillId="7" borderId="0" xfId="0" applyNumberFormat="1" applyFont="1" applyFill="1" applyAlignment="1">
      <alignment horizontal="center"/>
    </xf>
    <xf numFmtId="0" fontId="13" fillId="13" borderId="8" xfId="0" applyFont="1" applyFill="1" applyBorder="1"/>
    <xf numFmtId="164" fontId="96" fillId="0" borderId="0" xfId="0" applyNumberFormat="1" applyFont="1" applyAlignment="1">
      <alignment horizontal="center"/>
    </xf>
    <xf numFmtId="0" fontId="100" fillId="0" borderId="1" xfId="0" applyFont="1" applyBorder="1"/>
    <xf numFmtId="0" fontId="100" fillId="0" borderId="2" xfId="0" applyFont="1" applyBorder="1" applyAlignment="1">
      <alignment wrapText="1"/>
    </xf>
    <xf numFmtId="0" fontId="112" fillId="0" borderId="9" xfId="0" applyFont="1" applyBorder="1"/>
    <xf numFmtId="0" fontId="112" fillId="0" borderId="6" xfId="0" applyFont="1" applyBorder="1" applyAlignment="1">
      <alignment wrapText="1"/>
    </xf>
    <xf numFmtId="0" fontId="115" fillId="0" borderId="9" xfId="0" applyFont="1" applyBorder="1"/>
    <xf numFmtId="0" fontId="115" fillId="0" borderId="6" xfId="0" applyFont="1" applyBorder="1"/>
    <xf numFmtId="0" fontId="115" fillId="0" borderId="5" xfId="0" applyFont="1" applyBorder="1" applyAlignment="1">
      <alignment wrapText="1"/>
    </xf>
    <xf numFmtId="0" fontId="109" fillId="0" borderId="58" xfId="0" applyFont="1" applyBorder="1" applyAlignment="1">
      <alignment horizontal="center"/>
    </xf>
    <xf numFmtId="0" fontId="111" fillId="0" borderId="60" xfId="0" applyFont="1" applyBorder="1" applyAlignment="1">
      <alignment horizontal="center"/>
    </xf>
    <xf numFmtId="0" fontId="111" fillId="0" borderId="61" xfId="0" applyFont="1" applyBorder="1" applyAlignment="1">
      <alignment horizontal="center"/>
    </xf>
    <xf numFmtId="0" fontId="87" fillId="21" borderId="60" xfId="0" applyFont="1" applyFill="1" applyBorder="1" applyAlignment="1">
      <alignment horizontal="center"/>
    </xf>
    <xf numFmtId="0" fontId="87" fillId="21" borderId="61" xfId="0" applyFont="1" applyFill="1" applyBorder="1" applyAlignment="1">
      <alignment horizontal="center"/>
    </xf>
    <xf numFmtId="0" fontId="102" fillId="21" borderId="62" xfId="0" applyFont="1" applyFill="1" applyBorder="1" applyAlignment="1">
      <alignment horizontal="center" wrapText="1"/>
    </xf>
    <xf numFmtId="0" fontId="87" fillId="21" borderId="63" xfId="0" applyFont="1" applyFill="1" applyBorder="1" applyAlignment="1">
      <alignment horizontal="center"/>
    </xf>
    <xf numFmtId="0" fontId="102" fillId="21" borderId="64" xfId="0" applyFont="1" applyFill="1" applyBorder="1" applyAlignment="1">
      <alignment horizontal="center" wrapText="1"/>
    </xf>
    <xf numFmtId="0" fontId="87" fillId="21" borderId="65" xfId="0" applyFont="1" applyFill="1" applyBorder="1" applyAlignment="1">
      <alignment horizontal="center"/>
    </xf>
    <xf numFmtId="0" fontId="107" fillId="0" borderId="63" xfId="0" applyFont="1" applyBorder="1" applyAlignment="1">
      <alignment horizontal="center"/>
    </xf>
    <xf numFmtId="0" fontId="107" fillId="0" borderId="65" xfId="0" applyFont="1" applyBorder="1" applyAlignment="1">
      <alignment horizontal="center"/>
    </xf>
    <xf numFmtId="0" fontId="87" fillId="21" borderId="57" xfId="0" applyFont="1" applyFill="1" applyBorder="1" applyAlignment="1">
      <alignment horizontal="center"/>
    </xf>
    <xf numFmtId="0" fontId="87" fillId="21" borderId="58" xfId="0" applyFont="1" applyFill="1" applyBorder="1" applyAlignment="1">
      <alignment horizontal="center"/>
    </xf>
    <xf numFmtId="0" fontId="87" fillId="21" borderId="59" xfId="0" applyFont="1" applyFill="1" applyBorder="1" applyAlignment="1">
      <alignment horizontal="center"/>
    </xf>
    <xf numFmtId="0" fontId="57" fillId="0" borderId="67" xfId="0" applyFont="1" applyBorder="1"/>
    <xf numFmtId="0" fontId="57" fillId="0" borderId="67" xfId="0" applyFont="1" applyBorder="1" applyAlignment="1">
      <alignment horizontal="right"/>
    </xf>
    <xf numFmtId="0" fontId="54" fillId="0" borderId="67" xfId="0" applyFont="1" applyBorder="1"/>
    <xf numFmtId="0" fontId="0" fillId="0" borderId="67" xfId="0" applyBorder="1"/>
    <xf numFmtId="0" fontId="114" fillId="0" borderId="67" xfId="0" applyFont="1" applyBorder="1"/>
    <xf numFmtId="0" fontId="112" fillId="0" borderId="68" xfId="0" applyFont="1" applyBorder="1" applyAlignment="1">
      <alignment horizontal="right"/>
    </xf>
    <xf numFmtId="0" fontId="57" fillId="0" borderId="70" xfId="0" applyFont="1" applyBorder="1" applyAlignment="1">
      <alignment horizontal="center"/>
    </xf>
    <xf numFmtId="0" fontId="0" fillId="0" borderId="70" xfId="0" applyBorder="1" applyAlignment="1">
      <alignment horizontal="center"/>
    </xf>
    <xf numFmtId="0" fontId="54" fillId="0" borderId="70" xfId="0" applyFont="1" applyBorder="1" applyAlignment="1">
      <alignment horizontal="center"/>
    </xf>
    <xf numFmtId="0" fontId="0" fillId="0" borderId="70" xfId="0" applyBorder="1"/>
    <xf numFmtId="1" fontId="58" fillId="0" borderId="70" xfId="0" applyNumberFormat="1" applyFont="1" applyBorder="1" applyAlignment="1">
      <alignment horizontal="right"/>
    </xf>
    <xf numFmtId="0" fontId="112" fillId="0" borderId="66" xfId="0" applyFont="1" applyBorder="1" applyAlignment="1">
      <alignment horizontal="left"/>
    </xf>
    <xf numFmtId="1" fontId="113" fillId="0" borderId="69" xfId="0" applyNumberFormat="1" applyFont="1" applyBorder="1"/>
    <xf numFmtId="0" fontId="112" fillId="0" borderId="67" xfId="0" applyFont="1" applyBorder="1"/>
    <xf numFmtId="1" fontId="113" fillId="0" borderId="70" xfId="0" applyNumberFormat="1" applyFont="1" applyBorder="1"/>
    <xf numFmtId="0" fontId="100" fillId="0" borderId="72" xfId="0" applyFont="1" applyBorder="1" applyAlignment="1">
      <alignment horizontal="left"/>
    </xf>
    <xf numFmtId="0" fontId="100" fillId="0" borderId="73" xfId="0" applyFont="1" applyBorder="1"/>
    <xf numFmtId="0" fontId="55" fillId="0" borderId="73" xfId="0" applyFont="1" applyBorder="1"/>
    <xf numFmtId="0" fontId="55" fillId="0" borderId="73" xfId="0" applyFont="1" applyBorder="1" applyAlignment="1">
      <alignment horizontal="right"/>
    </xf>
    <xf numFmtId="0" fontId="33" fillId="0" borderId="73" xfId="0" applyFont="1" applyBorder="1"/>
    <xf numFmtId="0" fontId="0" fillId="0" borderId="73" xfId="0" applyBorder="1"/>
    <xf numFmtId="0" fontId="100" fillId="0" borderId="74" xfId="0" applyFont="1" applyBorder="1" applyAlignment="1">
      <alignment horizontal="right"/>
    </xf>
    <xf numFmtId="0" fontId="100" fillId="0" borderId="76" xfId="0" applyFont="1" applyBorder="1"/>
    <xf numFmtId="2" fontId="100" fillId="0" borderId="76" xfId="0" applyNumberFormat="1" applyFont="1" applyBorder="1"/>
    <xf numFmtId="0" fontId="55" fillId="0" borderId="76" xfId="0" applyFont="1" applyBorder="1" applyAlignment="1">
      <alignment horizontal="center"/>
    </xf>
    <xf numFmtId="0" fontId="0" fillId="0" borderId="76" xfId="0" applyBorder="1" applyAlignment="1">
      <alignment horizontal="center"/>
    </xf>
    <xf numFmtId="0" fontId="59" fillId="0" borderId="78" xfId="0" applyFont="1" applyBorder="1"/>
    <xf numFmtId="0" fontId="33" fillId="0" borderId="79" xfId="0" applyFont="1" applyBorder="1" applyAlignment="1">
      <alignment horizontal="right"/>
    </xf>
    <xf numFmtId="0" fontId="116" fillId="0" borderId="29" xfId="0" applyFont="1" applyBorder="1" applyAlignment="1">
      <alignment horizontal="center"/>
    </xf>
    <xf numFmtId="0" fontId="116" fillId="0" borderId="80" xfId="0" applyFont="1" applyBorder="1" applyAlignment="1">
      <alignment horizontal="center"/>
    </xf>
    <xf numFmtId="0" fontId="116" fillId="0" borderId="81" xfId="0" applyFont="1" applyBorder="1" applyAlignment="1">
      <alignment horizontal="center"/>
    </xf>
    <xf numFmtId="0" fontId="87" fillId="21" borderId="82" xfId="0" applyFont="1" applyFill="1" applyBorder="1" applyAlignment="1">
      <alignment horizontal="center"/>
    </xf>
    <xf numFmtId="164" fontId="86" fillId="0" borderId="8" xfId="0" applyNumberFormat="1" applyFont="1" applyBorder="1" applyAlignment="1">
      <alignment horizontal="center"/>
    </xf>
    <xf numFmtId="0" fontId="117" fillId="0" borderId="8" xfId="0" applyFont="1" applyBorder="1"/>
    <xf numFmtId="0" fontId="34" fillId="0" borderId="0" xfId="0" applyFont="1"/>
    <xf numFmtId="0" fontId="117" fillId="0" borderId="0" xfId="0" applyFont="1"/>
    <xf numFmtId="0" fontId="34" fillId="0" borderId="8" xfId="0" applyFont="1" applyBorder="1"/>
    <xf numFmtId="0" fontId="34" fillId="0" borderId="8" xfId="0" applyFont="1" applyBorder="1" applyAlignment="1">
      <alignment wrapText="1"/>
    </xf>
    <xf numFmtId="0" fontId="108" fillId="0" borderId="56" xfId="0" applyFont="1" applyBorder="1"/>
    <xf numFmtId="0" fontId="54" fillId="0" borderId="8" xfId="0" applyFont="1" applyBorder="1"/>
    <xf numFmtId="0" fontId="108" fillId="0" borderId="5" xfId="0" applyFont="1" applyBorder="1" applyAlignment="1">
      <alignment horizontal="left"/>
    </xf>
    <xf numFmtId="0" fontId="16" fillId="0" borderId="8" xfId="0" applyFont="1" applyBorder="1"/>
    <xf numFmtId="0" fontId="16" fillId="0" borderId="47" xfId="0" applyFont="1" applyBorder="1" applyAlignment="1">
      <alignment wrapText="1"/>
    </xf>
    <xf numFmtId="0" fontId="59" fillId="0" borderId="12" xfId="0" applyFont="1" applyBorder="1"/>
    <xf numFmtId="0" fontId="59" fillId="0" borderId="83" xfId="0" applyFont="1" applyBorder="1"/>
    <xf numFmtId="0" fontId="59" fillId="0" borderId="84" xfId="0" applyFont="1" applyBorder="1"/>
    <xf numFmtId="0" fontId="59" fillId="0" borderId="85" xfId="0" applyFont="1" applyBorder="1"/>
    <xf numFmtId="0" fontId="62" fillId="0" borderId="25" xfId="0" applyFont="1" applyBorder="1" applyAlignment="1">
      <alignment horizontal="center"/>
    </xf>
    <xf numFmtId="0" fontId="62" fillId="0" borderId="53" xfId="0" applyFont="1" applyBorder="1" applyAlignment="1">
      <alignment horizontal="center"/>
    </xf>
    <xf numFmtId="0" fontId="62" fillId="0" borderId="18" xfId="0" applyFont="1" applyBorder="1" applyAlignment="1">
      <alignment horizontal="center"/>
    </xf>
    <xf numFmtId="0" fontId="62" fillId="0" borderId="54" xfId="0" applyFont="1" applyBorder="1" applyAlignment="1">
      <alignment horizontal="center"/>
    </xf>
    <xf numFmtId="0" fontId="75" fillId="0" borderId="0" xfId="0" applyFont="1"/>
    <xf numFmtId="0" fontId="118" fillId="0" borderId="5" xfId="0" applyFont="1" applyBorder="1" applyAlignment="1">
      <alignment horizontal="left"/>
    </xf>
    <xf numFmtId="0" fontId="106" fillId="13" borderId="87" xfId="0" applyFont="1" applyFill="1" applyBorder="1"/>
    <xf numFmtId="0" fontId="106" fillId="0" borderId="15" xfId="0" applyFont="1" applyBorder="1"/>
    <xf numFmtId="0" fontId="106" fillId="0" borderId="15" xfId="0" applyFont="1" applyBorder="1" applyAlignment="1">
      <alignment wrapText="1"/>
    </xf>
    <xf numFmtId="0" fontId="118" fillId="0" borderId="28" xfId="0" applyFont="1" applyBorder="1"/>
    <xf numFmtId="0" fontId="106" fillId="13" borderId="88" xfId="0" applyFont="1" applyFill="1" applyBorder="1"/>
    <xf numFmtId="0" fontId="106" fillId="0" borderId="12" xfId="0" applyFont="1" applyBorder="1"/>
    <xf numFmtId="0" fontId="91" fillId="0" borderId="12" xfId="0" applyFont="1" applyBorder="1"/>
    <xf numFmtId="0" fontId="118" fillId="0" borderId="22" xfId="0" applyFont="1" applyBorder="1" applyAlignment="1">
      <alignment horizontal="left"/>
    </xf>
    <xf numFmtId="0" fontId="106" fillId="0" borderId="18" xfId="0" applyFont="1" applyBorder="1"/>
    <xf numFmtId="0" fontId="91" fillId="0" borderId="18" xfId="0" applyFont="1" applyBorder="1"/>
    <xf numFmtId="164" fontId="92" fillId="0" borderId="18" xfId="0" applyNumberFormat="1" applyFont="1" applyBorder="1" applyAlignment="1">
      <alignment horizontal="center"/>
    </xf>
    <xf numFmtId="164" fontId="119" fillId="12" borderId="54" xfId="0" applyNumberFormat="1" applyFont="1" applyFill="1" applyBorder="1" applyAlignment="1">
      <alignment horizontal="center"/>
    </xf>
    <xf numFmtId="0" fontId="120" fillId="0" borderId="8" xfId="0" applyFont="1" applyBorder="1"/>
    <xf numFmtId="0" fontId="121" fillId="0" borderId="8" xfId="0" applyFont="1" applyBorder="1"/>
    <xf numFmtId="0" fontId="120" fillId="0" borderId="47" xfId="0" applyFont="1" applyBorder="1" applyAlignment="1">
      <alignment wrapText="1"/>
    </xf>
    <xf numFmtId="0" fontId="120" fillId="13" borderId="8" xfId="0" applyFont="1" applyFill="1" applyBorder="1"/>
    <xf numFmtId="0" fontId="120" fillId="0" borderId="8" xfId="0" applyFont="1" applyBorder="1" applyAlignment="1">
      <alignment wrapText="1"/>
    </xf>
    <xf numFmtId="0" fontId="122" fillId="0" borderId="8" xfId="0" applyFont="1" applyBorder="1"/>
    <xf numFmtId="164" fontId="123" fillId="0" borderId="8" xfId="0" applyNumberFormat="1" applyFont="1" applyBorder="1" applyAlignment="1">
      <alignment horizontal="center"/>
    </xf>
    <xf numFmtId="0" fontId="106" fillId="0" borderId="8" xfId="0" applyFont="1" applyBorder="1"/>
    <xf numFmtId="0" fontId="124" fillId="0" borderId="8" xfId="0" applyFont="1" applyBorder="1"/>
    <xf numFmtId="0" fontId="106" fillId="0" borderId="47" xfId="0" applyFont="1" applyBorder="1" applyAlignment="1">
      <alignment wrapText="1"/>
    </xf>
    <xf numFmtId="0" fontId="106" fillId="13" borderId="8" xfId="0" applyFont="1" applyFill="1" applyBorder="1"/>
    <xf numFmtId="0" fontId="106" fillId="0" borderId="8" xfId="0" applyFont="1" applyBorder="1" applyAlignment="1">
      <alignment wrapText="1"/>
    </xf>
    <xf numFmtId="0" fontId="118" fillId="0" borderId="56" xfId="0" applyFont="1" applyBorder="1"/>
    <xf numFmtId="0" fontId="91" fillId="0" borderId="8" xfId="0" applyFont="1" applyBorder="1"/>
    <xf numFmtId="164" fontId="92" fillId="0" borderId="8" xfId="0" applyNumberFormat="1" applyFont="1" applyBorder="1" applyAlignment="1">
      <alignment horizontal="center"/>
    </xf>
    <xf numFmtId="0" fontId="118" fillId="12" borderId="47" xfId="0" applyFont="1" applyFill="1" applyBorder="1" applyAlignment="1">
      <alignment horizontal="center" wrapText="1"/>
    </xf>
    <xf numFmtId="0" fontId="16" fillId="12" borderId="86" xfId="0" applyFont="1" applyFill="1" applyBorder="1"/>
    <xf numFmtId="0" fontId="16" fillId="19" borderId="86" xfId="0" applyFont="1" applyFill="1" applyBorder="1"/>
    <xf numFmtId="0" fontId="28" fillId="19" borderId="13" xfId="0" applyFont="1" applyFill="1" applyBorder="1"/>
    <xf numFmtId="0" fontId="28" fillId="19" borderId="16" xfId="0" applyFont="1" applyFill="1" applyBorder="1"/>
    <xf numFmtId="164" fontId="92" fillId="19" borderId="12" xfId="0" applyNumberFormat="1" applyFont="1" applyFill="1" applyBorder="1" applyAlignment="1">
      <alignment horizontal="center"/>
    </xf>
    <xf numFmtId="0" fontId="117" fillId="12" borderId="13" xfId="0" applyFont="1" applyFill="1" applyBorder="1"/>
    <xf numFmtId="0" fontId="16" fillId="12" borderId="16" xfId="0" applyFont="1" applyFill="1" applyBorder="1" applyAlignment="1">
      <alignment wrapText="1"/>
    </xf>
    <xf numFmtId="0" fontId="106" fillId="0" borderId="87" xfId="0" applyFont="1" applyBorder="1"/>
    <xf numFmtId="0" fontId="106" fillId="0" borderId="53" xfId="0" applyFont="1" applyBorder="1"/>
    <xf numFmtId="0" fontId="74" fillId="0" borderId="0" xfId="0" applyFont="1" applyAlignment="1">
      <alignment wrapText="1"/>
    </xf>
    <xf numFmtId="0" fontId="74" fillId="0" borderId="0" xfId="0" applyFont="1" applyAlignment="1">
      <alignment horizontal="center"/>
    </xf>
    <xf numFmtId="0" fontId="34" fillId="0" borderId="47" xfId="0" applyFont="1" applyBorder="1" applyAlignment="1">
      <alignment wrapText="1"/>
    </xf>
    <xf numFmtId="0" fontId="34" fillId="13" borderId="8" xfId="0" applyFont="1" applyFill="1" applyBorder="1"/>
    <xf numFmtId="1" fontId="113" fillId="0" borderId="70" xfId="0" applyNumberFormat="1" applyFont="1" applyBorder="1" applyAlignment="1">
      <alignment horizontal="right"/>
    </xf>
    <xf numFmtId="0" fontId="100" fillId="0" borderId="73" xfId="0" applyFont="1" applyBorder="1" applyAlignment="1">
      <alignment horizontal="right"/>
    </xf>
    <xf numFmtId="0" fontId="128" fillId="0" borderId="73" xfId="0" applyFont="1" applyBorder="1"/>
    <xf numFmtId="0" fontId="100" fillId="0" borderId="76" xfId="0" applyFont="1" applyBorder="1" applyAlignment="1">
      <alignment horizontal="center"/>
    </xf>
    <xf numFmtId="0" fontId="128" fillId="0" borderId="76" xfId="0" applyFont="1" applyBorder="1" applyAlignment="1">
      <alignment horizontal="center"/>
    </xf>
    <xf numFmtId="0" fontId="112" fillId="0" borderId="67" xfId="0" applyFont="1" applyBorder="1" applyAlignment="1">
      <alignment horizontal="right"/>
    </xf>
    <xf numFmtId="0" fontId="127" fillId="0" borderId="67" xfId="0" applyFont="1" applyBorder="1"/>
    <xf numFmtId="0" fontId="112" fillId="0" borderId="70" xfId="0" applyFont="1" applyBorder="1" applyAlignment="1">
      <alignment horizontal="center"/>
    </xf>
    <xf numFmtId="0" fontId="127" fillId="0" borderId="70" xfId="0" applyFont="1" applyBorder="1" applyAlignment="1">
      <alignment horizontal="center"/>
    </xf>
    <xf numFmtId="0" fontId="114" fillId="0" borderId="70" xfId="0" applyFont="1" applyBorder="1" applyAlignment="1">
      <alignment horizontal="center"/>
    </xf>
    <xf numFmtId="0" fontId="127" fillId="0" borderId="70" xfId="0" applyFont="1" applyBorder="1"/>
    <xf numFmtId="0" fontId="115" fillId="0" borderId="32" xfId="0" applyFont="1" applyBorder="1" applyAlignment="1">
      <alignment horizontal="left"/>
    </xf>
    <xf numFmtId="0" fontId="115" fillId="0" borderId="33" xfId="0" applyFont="1" applyBorder="1"/>
    <xf numFmtId="0" fontId="115" fillId="0" borderId="33" xfId="0" applyFont="1" applyBorder="1" applyAlignment="1">
      <alignment horizontal="right"/>
    </xf>
    <xf numFmtId="0" fontId="129" fillId="0" borderId="33" xfId="0" applyFont="1" applyBorder="1"/>
    <xf numFmtId="0" fontId="115" fillId="0" borderId="34" xfId="0" applyFont="1" applyBorder="1" applyAlignment="1">
      <alignment horizontal="right"/>
    </xf>
    <xf numFmtId="0" fontId="115" fillId="0" borderId="90" xfId="0" applyFont="1" applyBorder="1" applyAlignment="1">
      <alignment horizontal="center"/>
    </xf>
    <xf numFmtId="0" fontId="129" fillId="0" borderId="90" xfId="0" applyFont="1" applyBorder="1" applyAlignment="1">
      <alignment horizontal="center"/>
    </xf>
    <xf numFmtId="0" fontId="129" fillId="0" borderId="90" xfId="0" applyFont="1" applyBorder="1"/>
    <xf numFmtId="0" fontId="115" fillId="0" borderId="90" xfId="0" applyFont="1" applyBorder="1"/>
    <xf numFmtId="0" fontId="102" fillId="21" borderId="92" xfId="0" applyFont="1" applyFill="1" applyBorder="1" applyAlignment="1">
      <alignment horizontal="center" wrapText="1"/>
    </xf>
    <xf numFmtId="0" fontId="60" fillId="0" borderId="33" xfId="0" applyFont="1" applyBorder="1"/>
    <xf numFmtId="0" fontId="60" fillId="0" borderId="33" xfId="0" applyFont="1" applyBorder="1" applyAlignment="1">
      <alignment horizontal="right"/>
    </xf>
    <xf numFmtId="0" fontId="57" fillId="0" borderId="33" xfId="0" applyFont="1" applyBorder="1"/>
    <xf numFmtId="0" fontId="0" fillId="0" borderId="33" xfId="0" applyBorder="1"/>
    <xf numFmtId="0" fontId="60" fillId="0" borderId="90" xfId="0" applyFont="1" applyBorder="1" applyAlignment="1">
      <alignment horizontal="center"/>
    </xf>
    <xf numFmtId="0" fontId="0" fillId="0" borderId="90" xfId="0" applyBorder="1" applyAlignment="1">
      <alignment horizontal="center"/>
    </xf>
    <xf numFmtId="0" fontId="57" fillId="0" borderId="90" xfId="0" applyFont="1" applyBorder="1" applyAlignment="1">
      <alignment horizontal="center"/>
    </xf>
    <xf numFmtId="0" fontId="0" fillId="0" borderId="90" xfId="0" applyBorder="1"/>
    <xf numFmtId="0" fontId="57" fillId="0" borderId="90" xfId="0" applyFont="1" applyBorder="1"/>
    <xf numFmtId="0" fontId="115" fillId="10" borderId="7" xfId="0" applyFont="1" applyFill="1" applyBorder="1"/>
    <xf numFmtId="0" fontId="115" fillId="10" borderId="13" xfId="0" applyFont="1" applyFill="1" applyBorder="1"/>
    <xf numFmtId="0" fontId="109" fillId="21" borderId="57" xfId="0" applyFont="1" applyFill="1" applyBorder="1" applyAlignment="1">
      <alignment horizontal="center"/>
    </xf>
    <xf numFmtId="0" fontId="109" fillId="21" borderId="58" xfId="0" applyFont="1" applyFill="1" applyBorder="1" applyAlignment="1">
      <alignment horizontal="center"/>
    </xf>
    <xf numFmtId="0" fontId="109" fillId="21" borderId="59" xfId="0" applyFont="1" applyFill="1" applyBorder="1" applyAlignment="1">
      <alignment horizontal="center"/>
    </xf>
    <xf numFmtId="0" fontId="109" fillId="0" borderId="57" xfId="0" applyFont="1" applyBorder="1" applyAlignment="1">
      <alignment horizontal="center"/>
    </xf>
    <xf numFmtId="0" fontId="109" fillId="0" borderId="59" xfId="0" applyFont="1" applyBorder="1" applyAlignment="1">
      <alignment horizontal="center"/>
    </xf>
    <xf numFmtId="0" fontId="0" fillId="0" borderId="5" xfId="0" applyBorder="1"/>
    <xf numFmtId="49" fontId="33" fillId="12" borderId="13" xfId="1" applyNumberFormat="1" applyFont="1" applyFill="1" applyBorder="1" applyAlignment="1">
      <alignment wrapText="1"/>
    </xf>
    <xf numFmtId="49" fontId="33" fillId="4" borderId="13" xfId="1" applyNumberFormat="1" applyFont="1" applyFill="1" applyBorder="1" applyAlignment="1">
      <alignment horizontal="center" wrapText="1"/>
    </xf>
    <xf numFmtId="0" fontId="133" fillId="0" borderId="9" xfId="0" applyFont="1" applyBorder="1"/>
    <xf numFmtId="0" fontId="133" fillId="0" borderId="6" xfId="0" applyFont="1" applyBorder="1"/>
    <xf numFmtId="0" fontId="133" fillId="0" borderId="5" xfId="0" applyFont="1" applyBorder="1" applyAlignment="1">
      <alignment wrapText="1"/>
    </xf>
    <xf numFmtId="0" fontId="133" fillId="0" borderId="32" xfId="0" applyFont="1" applyBorder="1" applyAlignment="1">
      <alignment horizontal="left"/>
    </xf>
    <xf numFmtId="0" fontId="133" fillId="0" borderId="33" xfId="0" applyFont="1" applyBorder="1"/>
    <xf numFmtId="0" fontId="133" fillId="0" borderId="33" xfId="0" applyFont="1" applyBorder="1" applyAlignment="1">
      <alignment horizontal="right"/>
    </xf>
    <xf numFmtId="0" fontId="134" fillId="0" borderId="33" xfId="0" applyFont="1" applyBorder="1"/>
    <xf numFmtId="0" fontId="133" fillId="0" borderId="34" xfId="0" applyFont="1" applyBorder="1" applyAlignment="1">
      <alignment horizontal="right"/>
    </xf>
    <xf numFmtId="0" fontId="133" fillId="0" borderId="90" xfId="0" applyFont="1" applyBorder="1" applyAlignment="1">
      <alignment horizontal="center"/>
    </xf>
    <xf numFmtId="0" fontId="134" fillId="0" borderId="90" xfId="0" applyFont="1" applyBorder="1" applyAlignment="1">
      <alignment horizontal="center"/>
    </xf>
    <xf numFmtId="0" fontId="134" fillId="0" borderId="90" xfId="0" applyFont="1" applyBorder="1"/>
    <xf numFmtId="0" fontId="133" fillId="0" borderId="90" xfId="0" applyFont="1" applyBorder="1"/>
    <xf numFmtId="0" fontId="116" fillId="0" borderId="0" xfId="0" applyFont="1" applyAlignment="1">
      <alignment horizontal="center"/>
    </xf>
    <xf numFmtId="0" fontId="102" fillId="21" borderId="0" xfId="0" applyFont="1" applyFill="1" applyAlignment="1">
      <alignment horizontal="center" wrapText="1"/>
    </xf>
    <xf numFmtId="0" fontId="34" fillId="0" borderId="5" xfId="0" applyFont="1" applyBorder="1" applyAlignment="1">
      <alignment horizontal="center" vertical="center" wrapText="1"/>
    </xf>
    <xf numFmtId="0" fontId="136" fillId="0" borderId="0" xfId="0" applyFont="1"/>
    <xf numFmtId="2" fontId="136" fillId="0" borderId="0" xfId="0" applyNumberFormat="1" applyFont="1"/>
    <xf numFmtId="0" fontId="84" fillId="19" borderId="31" xfId="0" applyFont="1" applyFill="1" applyBorder="1" applyAlignment="1">
      <alignment horizontal="center"/>
    </xf>
    <xf numFmtId="0" fontId="99" fillId="13" borderId="8" xfId="0" applyFont="1" applyFill="1" applyBorder="1" applyAlignment="1">
      <alignment horizontal="center"/>
    </xf>
    <xf numFmtId="0" fontId="137" fillId="13" borderId="8" xfId="0" applyFont="1" applyFill="1" applyBorder="1" applyAlignment="1">
      <alignment horizontal="center"/>
    </xf>
    <xf numFmtId="0" fontId="138" fillId="13" borderId="8" xfId="0" applyFont="1" applyFill="1" applyBorder="1" applyAlignment="1">
      <alignment horizontal="center"/>
    </xf>
    <xf numFmtId="0" fontId="99" fillId="0" borderId="8" xfId="0" applyFont="1" applyBorder="1" applyAlignment="1">
      <alignment horizontal="left"/>
    </xf>
    <xf numFmtId="0" fontId="99" fillId="0" borderId="8" xfId="0" applyFont="1" applyBorder="1"/>
    <xf numFmtId="0" fontId="99" fillId="0" borderId="8" xfId="0" applyFont="1" applyBorder="1" applyAlignment="1">
      <alignment horizontal="center"/>
    </xf>
    <xf numFmtId="0" fontId="138" fillId="15" borderId="8" xfId="0" applyFont="1" applyFill="1" applyBorder="1" applyAlignment="1">
      <alignment horizontal="center"/>
    </xf>
    <xf numFmtId="165" fontId="99" fillId="0" borderId="8" xfId="0" applyNumberFormat="1" applyFont="1" applyBorder="1" applyAlignment="1">
      <alignment horizontal="center"/>
    </xf>
    <xf numFmtId="165" fontId="99" fillId="26" borderId="8" xfId="0" applyNumberFormat="1" applyFont="1" applyFill="1" applyBorder="1" applyAlignment="1">
      <alignment horizontal="center"/>
    </xf>
    <xf numFmtId="0" fontId="136" fillId="13" borderId="0" xfId="0" applyFont="1" applyFill="1"/>
    <xf numFmtId="0" fontId="99" fillId="26" borderId="8" xfId="0" applyFont="1" applyFill="1" applyBorder="1" applyAlignment="1">
      <alignment horizontal="left"/>
    </xf>
    <xf numFmtId="0" fontId="139" fillId="0" borderId="0" xfId="0" applyFont="1"/>
    <xf numFmtId="0" fontId="33" fillId="19" borderId="8" xfId="0" applyFont="1" applyFill="1" applyBorder="1" applyAlignment="1">
      <alignment horizontal="center" wrapText="1"/>
    </xf>
    <xf numFmtId="0" fontId="99" fillId="12" borderId="8" xfId="0" applyFont="1" applyFill="1" applyBorder="1" applyAlignment="1">
      <alignment horizontal="left"/>
    </xf>
    <xf numFmtId="0" fontId="99" fillId="18" borderId="8" xfId="0" applyFont="1" applyFill="1" applyBorder="1" applyAlignment="1">
      <alignment horizontal="left"/>
    </xf>
    <xf numFmtId="0" fontId="86" fillId="0" borderId="8" xfId="0" applyFont="1" applyBorder="1" applyAlignment="1">
      <alignment horizontal="center"/>
    </xf>
    <xf numFmtId="0" fontId="33" fillId="23" borderId="8" xfId="0" applyFont="1" applyFill="1" applyBorder="1" applyAlignment="1">
      <alignment horizontal="center" wrapText="1"/>
    </xf>
    <xf numFmtId="0" fontId="33" fillId="19" borderId="11" xfId="0" applyFont="1" applyFill="1" applyBorder="1" applyAlignment="1">
      <alignment horizontal="center" wrapText="1"/>
    </xf>
    <xf numFmtId="0" fontId="99" fillId="23" borderId="8" xfId="0" applyFont="1" applyFill="1" applyBorder="1" applyAlignment="1">
      <alignment horizontal="center" wrapText="1"/>
    </xf>
    <xf numFmtId="0" fontId="99" fillId="18" borderId="8" xfId="0" applyFont="1" applyFill="1" applyBorder="1" applyAlignment="1">
      <alignment horizontal="center" wrapText="1"/>
    </xf>
    <xf numFmtId="0" fontId="33" fillId="18" borderId="8" xfId="0" applyFont="1" applyFill="1" applyBorder="1" applyAlignment="1">
      <alignment horizontal="center" wrapText="1"/>
    </xf>
    <xf numFmtId="165" fontId="101" fillId="23" borderId="8" xfId="1" applyNumberFormat="1" applyFont="1" applyFill="1" applyBorder="1" applyAlignment="1">
      <alignment horizontal="center"/>
    </xf>
    <xf numFmtId="165" fontId="101" fillId="19" borderId="11" xfId="1" applyNumberFormat="1" applyFont="1" applyFill="1" applyBorder="1" applyAlignment="1">
      <alignment horizontal="center"/>
    </xf>
    <xf numFmtId="165" fontId="101" fillId="18" borderId="8" xfId="1" applyNumberFormat="1" applyFont="1" applyFill="1" applyBorder="1" applyAlignment="1">
      <alignment horizontal="center"/>
    </xf>
    <xf numFmtId="165" fontId="101" fillId="19" borderId="8" xfId="1" applyNumberFormat="1" applyFont="1" applyFill="1" applyBorder="1" applyAlignment="1">
      <alignment horizontal="center"/>
    </xf>
    <xf numFmtId="165" fontId="101" fillId="19" borderId="3" xfId="1" applyNumberFormat="1" applyFont="1" applyFill="1" applyBorder="1" applyAlignment="1">
      <alignment horizontal="center"/>
    </xf>
    <xf numFmtId="165" fontId="101" fillId="19" borderId="14" xfId="1" applyNumberFormat="1" applyFont="1" applyFill="1" applyBorder="1" applyAlignment="1">
      <alignment horizontal="center"/>
    </xf>
    <xf numFmtId="0" fontId="99" fillId="12" borderId="5" xfId="0" applyFont="1" applyFill="1" applyBorder="1" applyAlignment="1">
      <alignment horizontal="center"/>
    </xf>
    <xf numFmtId="0" fontId="99" fillId="27" borderId="8" xfId="0" applyFont="1" applyFill="1" applyBorder="1" applyAlignment="1">
      <alignment horizontal="center" wrapText="1"/>
    </xf>
    <xf numFmtId="0" fontId="33" fillId="27" borderId="8" xfId="0" applyFont="1" applyFill="1" applyBorder="1" applyAlignment="1">
      <alignment horizontal="center" wrapText="1"/>
    </xf>
    <xf numFmtId="165" fontId="101" fillId="27" borderId="8" xfId="1" applyNumberFormat="1" applyFont="1" applyFill="1" applyBorder="1" applyAlignment="1">
      <alignment horizontal="center"/>
    </xf>
    <xf numFmtId="0" fontId="84" fillId="12" borderId="5" xfId="0" applyFont="1" applyFill="1" applyBorder="1" applyAlignment="1">
      <alignment horizontal="center"/>
    </xf>
    <xf numFmtId="1" fontId="87" fillId="21" borderId="63" xfId="0" applyNumberFormat="1" applyFont="1" applyFill="1" applyBorder="1" applyAlignment="1">
      <alignment horizontal="center"/>
    </xf>
    <xf numFmtId="0" fontId="99" fillId="13" borderId="94" xfId="0" applyFont="1" applyFill="1" applyBorder="1" applyAlignment="1">
      <alignment horizontal="left"/>
    </xf>
    <xf numFmtId="0" fontId="137" fillId="13" borderId="95" xfId="0" applyFont="1" applyFill="1" applyBorder="1" applyAlignment="1">
      <alignment horizontal="center"/>
    </xf>
    <xf numFmtId="0" fontId="0" fillId="0" borderId="96" xfId="0" applyBorder="1"/>
    <xf numFmtId="0" fontId="0" fillId="0" borderId="97" xfId="0" applyBorder="1"/>
    <xf numFmtId="0" fontId="99" fillId="13" borderId="98" xfId="0" applyFont="1" applyFill="1" applyBorder="1" applyAlignment="1">
      <alignment horizontal="left"/>
    </xf>
    <xf numFmtId="0" fontId="0" fillId="0" borderId="99" xfId="0" applyBorder="1"/>
    <xf numFmtId="0" fontId="99" fillId="15" borderId="98" xfId="0" applyFont="1" applyFill="1" applyBorder="1" applyAlignment="1">
      <alignment horizontal="left"/>
    </xf>
    <xf numFmtId="0" fontId="99" fillId="12" borderId="98" xfId="0" applyFont="1" applyFill="1" applyBorder="1" applyAlignment="1">
      <alignment horizontal="left"/>
    </xf>
    <xf numFmtId="0" fontId="0" fillId="0" borderId="100" xfId="0" applyBorder="1" applyAlignment="1">
      <alignment horizontal="center"/>
    </xf>
    <xf numFmtId="0" fontId="103" fillId="13" borderId="0" xfId="0" applyFont="1" applyFill="1" applyAlignment="1">
      <alignment horizontal="center"/>
    </xf>
    <xf numFmtId="0" fontId="28" fillId="0" borderId="100" xfId="0" applyFont="1" applyBorder="1" applyAlignment="1">
      <alignment horizontal="center"/>
    </xf>
    <xf numFmtId="0" fontId="103" fillId="23" borderId="0" xfId="0" applyFont="1" applyFill="1"/>
    <xf numFmtId="0" fontId="28" fillId="13" borderId="100" xfId="0" applyFont="1" applyFill="1" applyBorder="1" applyAlignment="1">
      <alignment horizontal="left"/>
    </xf>
    <xf numFmtId="1" fontId="91" fillId="23" borderId="0" xfId="0" applyNumberFormat="1" applyFont="1" applyFill="1" applyAlignment="1">
      <alignment horizontal="center"/>
    </xf>
    <xf numFmtId="0" fontId="0" fillId="0" borderId="100" xfId="0" applyBorder="1"/>
    <xf numFmtId="0" fontId="103" fillId="18" borderId="0" xfId="0" applyFont="1" applyFill="1"/>
    <xf numFmtId="0" fontId="91" fillId="18" borderId="0" xfId="0" applyFont="1" applyFill="1" applyAlignment="1">
      <alignment horizontal="center"/>
    </xf>
    <xf numFmtId="0" fontId="91" fillId="27" borderId="0" xfId="0" applyFont="1" applyFill="1" applyAlignment="1">
      <alignment horizontal="center"/>
    </xf>
    <xf numFmtId="0" fontId="5" fillId="0" borderId="100" xfId="0" applyFont="1" applyBorder="1"/>
    <xf numFmtId="0" fontId="99" fillId="0" borderId="0" xfId="0" applyFont="1" applyAlignment="1">
      <alignment horizontal="center" wrapText="1"/>
    </xf>
    <xf numFmtId="0" fontId="43" fillId="0" borderId="99" xfId="0" applyFont="1" applyBorder="1"/>
    <xf numFmtId="0" fontId="7" fillId="0" borderId="100" xfId="0" applyFont="1" applyBorder="1"/>
    <xf numFmtId="0" fontId="7" fillId="0" borderId="99" xfId="0" applyFont="1" applyBorder="1"/>
    <xf numFmtId="0" fontId="31" fillId="0" borderId="99" xfId="0" applyFont="1" applyBorder="1" applyAlignment="1">
      <alignment vertical="center"/>
    </xf>
    <xf numFmtId="0" fontId="34" fillId="0" borderId="100" xfId="0" applyFont="1" applyBorder="1" applyAlignment="1">
      <alignment horizontal="center" wrapText="1"/>
    </xf>
    <xf numFmtId="0" fontId="13" fillId="0" borderId="99" xfId="0" applyFont="1" applyBorder="1"/>
    <xf numFmtId="0" fontId="34" fillId="0" borderId="101" xfId="0" applyFont="1" applyBorder="1" applyAlignment="1">
      <alignment horizontal="center" wrapText="1"/>
    </xf>
    <xf numFmtId="0" fontId="13" fillId="0" borderId="102" xfId="0" applyFont="1" applyBorder="1"/>
    <xf numFmtId="0" fontId="13" fillId="0" borderId="104" xfId="0" applyFont="1" applyBorder="1"/>
    <xf numFmtId="2" fontId="99" fillId="0" borderId="0" xfId="0" applyNumberFormat="1" applyFont="1"/>
    <xf numFmtId="0" fontId="139" fillId="24" borderId="93" xfId="0" applyFont="1" applyFill="1" applyBorder="1"/>
    <xf numFmtId="0" fontId="140" fillId="13" borderId="95" xfId="0" applyFont="1" applyFill="1" applyBorder="1" applyAlignment="1">
      <alignment horizontal="center"/>
    </xf>
    <xf numFmtId="0" fontId="140" fillId="13" borderId="8" xfId="0" applyFont="1" applyFill="1" applyBorder="1" applyAlignment="1">
      <alignment horizontal="center"/>
    </xf>
    <xf numFmtId="0" fontId="141" fillId="13" borderId="8" xfId="0" applyFont="1" applyFill="1" applyBorder="1" applyAlignment="1">
      <alignment horizontal="center"/>
    </xf>
    <xf numFmtId="0" fontId="141" fillId="15" borderId="8" xfId="0" applyFont="1" applyFill="1" applyBorder="1" applyAlignment="1">
      <alignment horizontal="center"/>
    </xf>
    <xf numFmtId="0" fontId="142" fillId="13" borderId="8" xfId="0" applyFont="1" applyFill="1" applyBorder="1" applyAlignment="1">
      <alignment horizontal="center"/>
    </xf>
    <xf numFmtId="1" fontId="143" fillId="23" borderId="0" xfId="0" applyNumberFormat="1" applyFont="1" applyFill="1" applyAlignment="1">
      <alignment horizontal="center"/>
    </xf>
    <xf numFmtId="0" fontId="143" fillId="18" borderId="0" xfId="0" applyFont="1" applyFill="1" applyAlignment="1">
      <alignment horizontal="center"/>
    </xf>
    <xf numFmtId="165" fontId="144" fillId="19" borderId="8" xfId="1" applyNumberFormat="1" applyFont="1" applyFill="1" applyBorder="1" applyAlignment="1">
      <alignment horizontal="center"/>
    </xf>
    <xf numFmtId="165" fontId="144" fillId="19" borderId="11" xfId="1" applyNumberFormat="1" applyFont="1" applyFill="1" applyBorder="1" applyAlignment="1">
      <alignment horizontal="center"/>
    </xf>
    <xf numFmtId="165" fontId="144" fillId="23" borderId="8" xfId="1" applyNumberFormat="1" applyFont="1" applyFill="1" applyBorder="1" applyAlignment="1">
      <alignment horizontal="center"/>
    </xf>
    <xf numFmtId="165" fontId="144" fillId="18" borderId="8" xfId="1" applyNumberFormat="1" applyFont="1" applyFill="1" applyBorder="1" applyAlignment="1">
      <alignment horizontal="center"/>
    </xf>
    <xf numFmtId="165" fontId="144" fillId="27" borderId="8" xfId="1" applyNumberFormat="1" applyFont="1" applyFill="1" applyBorder="1" applyAlignment="1">
      <alignment horizontal="center"/>
    </xf>
    <xf numFmtId="2" fontId="92" fillId="12" borderId="5" xfId="0" applyNumberFormat="1" applyFont="1" applyFill="1" applyBorder="1" applyAlignment="1">
      <alignment horizontal="left" wrapText="1"/>
    </xf>
    <xf numFmtId="0" fontId="62" fillId="0" borderId="87" xfId="0" applyFont="1" applyBorder="1" applyAlignment="1">
      <alignment horizontal="center"/>
    </xf>
    <xf numFmtId="0" fontId="62" fillId="0" borderId="15" xfId="0" applyFont="1" applyBorder="1" applyAlignment="1">
      <alignment horizontal="center"/>
    </xf>
    <xf numFmtId="0" fontId="62" fillId="0" borderId="105" xfId="0" applyFont="1" applyBorder="1" applyAlignment="1">
      <alignment horizontal="center"/>
    </xf>
    <xf numFmtId="0" fontId="106" fillId="0" borderId="8" xfId="0" applyFont="1" applyBorder="1" applyAlignment="1">
      <alignment horizontal="center"/>
    </xf>
    <xf numFmtId="165" fontId="106" fillId="13" borderId="103" xfId="0" applyNumberFormat="1" applyFont="1" applyFill="1" applyBorder="1" applyAlignment="1">
      <alignment horizontal="center"/>
    </xf>
    <xf numFmtId="0" fontId="145" fillId="0" borderId="8" xfId="0" applyFont="1" applyBorder="1" applyAlignment="1">
      <alignment horizontal="center"/>
    </xf>
    <xf numFmtId="165" fontId="145" fillId="13" borderId="103" xfId="0" applyNumberFormat="1" applyFont="1" applyFill="1" applyBorder="1" applyAlignment="1">
      <alignment horizontal="center"/>
    </xf>
    <xf numFmtId="2" fontId="146" fillId="12" borderId="5" xfId="0" applyNumberFormat="1" applyFont="1" applyFill="1" applyBorder="1" applyAlignment="1">
      <alignment horizontal="left" wrapText="1"/>
    </xf>
    <xf numFmtId="0" fontId="136" fillId="23" borderId="0" xfId="0" applyFont="1" applyFill="1"/>
    <xf numFmtId="0" fontId="99" fillId="18" borderId="0" xfId="0" applyFont="1" applyFill="1"/>
    <xf numFmtId="0" fontId="136" fillId="0" borderId="0" xfId="0" applyFont="1" applyAlignment="1">
      <alignment horizontal="center"/>
    </xf>
    <xf numFmtId="0" fontId="147" fillId="13" borderId="8" xfId="0" applyFont="1" applyFill="1" applyBorder="1" applyAlignment="1">
      <alignment horizontal="center"/>
    </xf>
    <xf numFmtId="0" fontId="96" fillId="13" borderId="0" xfId="0" applyFont="1" applyFill="1"/>
    <xf numFmtId="0" fontId="148" fillId="13" borderId="95" xfId="0" applyFont="1" applyFill="1" applyBorder="1" applyAlignment="1">
      <alignment horizontal="center"/>
    </xf>
    <xf numFmtId="0" fontId="148" fillId="13" borderId="8" xfId="0" applyFont="1" applyFill="1" applyBorder="1" applyAlignment="1">
      <alignment horizontal="center"/>
    </xf>
    <xf numFmtId="0" fontId="149" fillId="13" borderId="8" xfId="0" applyFont="1" applyFill="1" applyBorder="1" applyAlignment="1">
      <alignment horizontal="center"/>
    </xf>
    <xf numFmtId="0" fontId="149" fillId="15" borderId="8" xfId="0" applyFont="1" applyFill="1" applyBorder="1" applyAlignment="1">
      <alignment horizontal="center"/>
    </xf>
    <xf numFmtId="0" fontId="150" fillId="13" borderId="8" xfId="0" applyFont="1" applyFill="1" applyBorder="1" applyAlignment="1">
      <alignment horizontal="center"/>
    </xf>
    <xf numFmtId="1" fontId="151" fillId="23" borderId="0" xfId="0" applyNumberFormat="1" applyFont="1" applyFill="1" applyAlignment="1">
      <alignment horizontal="center"/>
    </xf>
    <xf numFmtId="0" fontId="151" fillId="18" borderId="0" xfId="0" applyFont="1" applyFill="1" applyAlignment="1">
      <alignment horizontal="center"/>
    </xf>
    <xf numFmtId="0" fontId="86" fillId="0" borderId="8" xfId="0" applyFont="1" applyBorder="1" applyAlignment="1">
      <alignment horizontal="left"/>
    </xf>
    <xf numFmtId="165" fontId="109" fillId="19" borderId="11" xfId="1" applyNumberFormat="1" applyFont="1" applyFill="1" applyBorder="1" applyAlignment="1">
      <alignment horizontal="center"/>
    </xf>
    <xf numFmtId="165" fontId="109" fillId="19" borderId="8" xfId="1" applyNumberFormat="1" applyFont="1" applyFill="1" applyBorder="1" applyAlignment="1">
      <alignment horizontal="center"/>
    </xf>
    <xf numFmtId="165" fontId="109" fillId="23" borderId="8" xfId="1" applyNumberFormat="1" applyFont="1" applyFill="1" applyBorder="1" applyAlignment="1">
      <alignment horizontal="center"/>
    </xf>
    <xf numFmtId="165" fontId="109" fillId="18" borderId="8" xfId="1" applyNumberFormat="1" applyFont="1" applyFill="1" applyBorder="1" applyAlignment="1">
      <alignment horizontal="center"/>
    </xf>
    <xf numFmtId="165" fontId="109" fillId="27" borderId="8" xfId="1" applyNumberFormat="1" applyFont="1" applyFill="1" applyBorder="1" applyAlignment="1">
      <alignment horizontal="center"/>
    </xf>
    <xf numFmtId="0" fontId="118" fillId="0" borderId="8" xfId="0" applyFont="1" applyBorder="1" applyAlignment="1">
      <alignment horizontal="center"/>
    </xf>
    <xf numFmtId="165" fontId="118" fillId="13" borderId="103" xfId="0" applyNumberFormat="1" applyFont="1" applyFill="1" applyBorder="1" applyAlignment="1">
      <alignment horizontal="center"/>
    </xf>
    <xf numFmtId="2" fontId="119" fillId="12" borderId="5" xfId="0" applyNumberFormat="1" applyFont="1" applyFill="1" applyBorder="1" applyAlignment="1">
      <alignment horizontal="left" wrapText="1"/>
    </xf>
    <xf numFmtId="2" fontId="101" fillId="19" borderId="14" xfId="1" applyNumberFormat="1" applyFont="1" applyFill="1" applyBorder="1" applyAlignment="1">
      <alignment horizontal="center"/>
    </xf>
    <xf numFmtId="2" fontId="80" fillId="0" borderId="0" xfId="0" applyNumberFormat="1" applyFont="1"/>
    <xf numFmtId="0" fontId="150" fillId="28" borderId="8" xfId="0" applyFont="1" applyFill="1" applyBorder="1" applyAlignment="1">
      <alignment horizontal="center"/>
    </xf>
    <xf numFmtId="0" fontId="142" fillId="28" borderId="8" xfId="0" applyFont="1" applyFill="1" applyBorder="1" applyAlignment="1">
      <alignment horizontal="center"/>
    </xf>
    <xf numFmtId="0" fontId="33" fillId="19" borderId="22" xfId="0" applyFont="1" applyFill="1" applyBorder="1" applyAlignment="1">
      <alignment horizontal="center" wrapText="1"/>
    </xf>
    <xf numFmtId="0" fontId="96" fillId="0" borderId="0" xfId="0" applyFont="1"/>
    <xf numFmtId="0" fontId="94" fillId="0" borderId="8" xfId="0" applyFont="1" applyBorder="1"/>
    <xf numFmtId="0" fontId="152" fillId="0" borderId="8" xfId="0" applyFont="1" applyBorder="1" applyAlignment="1">
      <alignment horizontal="center"/>
    </xf>
    <xf numFmtId="0" fontId="94" fillId="2" borderId="8" xfId="0" applyFont="1" applyFill="1" applyBorder="1" applyAlignment="1">
      <alignment wrapText="1"/>
    </xf>
    <xf numFmtId="0" fontId="94" fillId="2" borderId="8" xfId="0" applyFont="1" applyFill="1" applyBorder="1" applyAlignment="1">
      <alignment horizontal="center"/>
    </xf>
    <xf numFmtId="0" fontId="94" fillId="0" borderId="0" xfId="0" applyFont="1" applyAlignment="1">
      <alignment wrapText="1"/>
    </xf>
    <xf numFmtId="0" fontId="94" fillId="0" borderId="0" xfId="0" applyFont="1" applyAlignment="1">
      <alignment horizontal="center"/>
    </xf>
    <xf numFmtId="0" fontId="84" fillId="12" borderId="8" xfId="0" applyFont="1" applyFill="1" applyBorder="1" applyAlignment="1">
      <alignment horizontal="center"/>
    </xf>
    <xf numFmtId="0" fontId="84" fillId="12" borderId="12" xfId="0" applyFont="1" applyFill="1" applyBorder="1" applyAlignment="1">
      <alignment horizontal="center"/>
    </xf>
    <xf numFmtId="0" fontId="84" fillId="18" borderId="31" xfId="0" applyFont="1" applyFill="1" applyBorder="1" applyAlignment="1">
      <alignment horizontal="center"/>
    </xf>
    <xf numFmtId="0" fontId="79" fillId="18" borderId="47" xfId="0" applyFont="1" applyFill="1" applyBorder="1" applyAlignment="1">
      <alignment horizontal="center"/>
    </xf>
    <xf numFmtId="2" fontId="84" fillId="18" borderId="48" xfId="0" applyNumberFormat="1" applyFont="1" applyFill="1" applyBorder="1" applyAlignment="1">
      <alignment horizontal="center"/>
    </xf>
    <xf numFmtId="0" fontId="79" fillId="6" borderId="8" xfId="0" applyFont="1" applyFill="1" applyBorder="1" applyAlignment="1">
      <alignment horizontal="center"/>
    </xf>
    <xf numFmtId="0" fontId="84" fillId="6" borderId="8" xfId="0" applyFont="1" applyFill="1" applyBorder="1" applyAlignment="1">
      <alignment horizontal="center"/>
    </xf>
    <xf numFmtId="0" fontId="84" fillId="0" borderId="8" xfId="0" applyFont="1" applyBorder="1" applyAlignment="1">
      <alignment horizontal="center"/>
    </xf>
    <xf numFmtId="0" fontId="79" fillId="0" borderId="8" xfId="0" applyFont="1" applyBorder="1" applyAlignment="1">
      <alignment horizontal="center"/>
    </xf>
    <xf numFmtId="0" fontId="153" fillId="12" borderId="8" xfId="0" applyFont="1" applyFill="1" applyBorder="1" applyAlignment="1">
      <alignment horizontal="center" wrapText="1"/>
    </xf>
    <xf numFmtId="0" fontId="5" fillId="2" borderId="3" xfId="0" applyFont="1" applyFill="1" applyBorder="1" applyAlignment="1">
      <alignment horizontal="center"/>
    </xf>
    <xf numFmtId="0" fontId="154" fillId="0" borderId="0" xfId="0" applyFont="1" applyAlignment="1">
      <alignment horizontal="center"/>
    </xf>
    <xf numFmtId="0" fontId="154" fillId="6" borderId="31" xfId="0" applyFont="1" applyFill="1" applyBorder="1" applyAlignment="1">
      <alignment horizontal="center"/>
    </xf>
    <xf numFmtId="0" fontId="155" fillId="0" borderId="5" xfId="0" applyFont="1" applyBorder="1" applyAlignment="1">
      <alignment horizontal="left" vertical="top" wrapText="1"/>
    </xf>
    <xf numFmtId="0" fontId="156" fillId="11" borderId="23" xfId="0" applyFont="1" applyFill="1" applyBorder="1" applyAlignment="1">
      <alignment horizontal="center"/>
    </xf>
    <xf numFmtId="0" fontId="156" fillId="11" borderId="24" xfId="0" applyFont="1" applyFill="1" applyBorder="1" applyAlignment="1">
      <alignment horizontal="center"/>
    </xf>
    <xf numFmtId="0" fontId="158" fillId="0" borderId="6" xfId="0" applyFont="1" applyBorder="1"/>
    <xf numFmtId="0" fontId="158" fillId="0" borderId="10" xfId="0" applyFont="1" applyBorder="1"/>
    <xf numFmtId="0" fontId="158" fillId="0" borderId="5" xfId="0" applyFont="1" applyBorder="1"/>
    <xf numFmtId="0" fontId="160" fillId="0" borderId="19" xfId="0" applyFont="1" applyBorder="1"/>
    <xf numFmtId="0" fontId="160" fillId="0" borderId="20" xfId="0" applyFont="1" applyBorder="1"/>
    <xf numFmtId="0" fontId="34" fillId="0" borderId="56" xfId="0" applyFont="1" applyBorder="1"/>
    <xf numFmtId="0" fontId="34" fillId="0" borderId="5" xfId="0" applyFont="1" applyBorder="1" applyAlignment="1">
      <alignment horizontal="left"/>
    </xf>
    <xf numFmtId="0" fontId="5" fillId="7" borderId="1" xfId="0" applyFont="1" applyFill="1" applyBorder="1" applyAlignment="1">
      <alignment horizontal="center"/>
    </xf>
    <xf numFmtId="0" fontId="5" fillId="7" borderId="0" xfId="0" applyFont="1" applyFill="1" applyAlignment="1">
      <alignment horizontal="center"/>
    </xf>
    <xf numFmtId="0" fontId="8" fillId="7" borderId="1" xfId="0" applyFont="1" applyFill="1" applyBorder="1"/>
    <xf numFmtId="0" fontId="103" fillId="7" borderId="0" xfId="0" applyFont="1" applyFill="1" applyAlignment="1">
      <alignment horizontal="center"/>
    </xf>
    <xf numFmtId="0" fontId="160" fillId="12" borderId="0" xfId="0" applyFont="1" applyFill="1" applyAlignment="1">
      <alignment horizontal="center" wrapText="1"/>
    </xf>
    <xf numFmtId="0" fontId="160" fillId="12" borderId="0" xfId="0" applyFont="1" applyFill="1" applyAlignment="1">
      <alignment horizontal="center" vertical="center" wrapText="1"/>
    </xf>
    <xf numFmtId="0" fontId="163" fillId="11" borderId="15" xfId="0" applyFont="1" applyFill="1" applyBorder="1" applyAlignment="1">
      <alignment horizontal="center"/>
    </xf>
    <xf numFmtId="0" fontId="164" fillId="11" borderId="15" xfId="0" applyFont="1" applyFill="1" applyBorder="1" applyAlignment="1">
      <alignment horizontal="center"/>
    </xf>
    <xf numFmtId="0" fontId="158" fillId="11" borderId="12" xfId="0" applyFont="1" applyFill="1" applyBorder="1" applyAlignment="1">
      <alignment horizontal="center" wrapText="1"/>
    </xf>
    <xf numFmtId="0" fontId="158" fillId="11" borderId="1" xfId="0" applyFont="1" applyFill="1" applyBorder="1" applyAlignment="1">
      <alignment horizontal="center"/>
    </xf>
    <xf numFmtId="0" fontId="157" fillId="11" borderId="12" xfId="0" applyFont="1" applyFill="1" applyBorder="1" applyAlignment="1">
      <alignment horizontal="center" wrapText="1"/>
    </xf>
    <xf numFmtId="0" fontId="157" fillId="11" borderId="1" xfId="0" applyFont="1" applyFill="1" applyBorder="1" applyAlignment="1">
      <alignment horizontal="center"/>
    </xf>
    <xf numFmtId="0" fontId="80" fillId="2" borderId="0" xfId="0" applyFont="1" applyFill="1" applyAlignment="1">
      <alignment horizontal="center" wrapText="1"/>
    </xf>
    <xf numFmtId="0" fontId="103" fillId="2" borderId="1" xfId="0" applyFont="1" applyFill="1" applyBorder="1"/>
    <xf numFmtId="0" fontId="103" fillId="2" borderId="0" xfId="0" applyFont="1" applyFill="1"/>
    <xf numFmtId="0" fontId="45" fillId="12" borderId="8" xfId="0" applyFont="1" applyFill="1" applyBorder="1" applyAlignment="1">
      <alignment wrapText="1"/>
    </xf>
    <xf numFmtId="0" fontId="45" fillId="12" borderId="8" xfId="0" applyFont="1" applyFill="1" applyBorder="1" applyAlignment="1">
      <alignment horizontal="center"/>
    </xf>
    <xf numFmtId="0" fontId="158" fillId="11" borderId="13" xfId="0" applyFont="1" applyFill="1" applyBorder="1"/>
    <xf numFmtId="164" fontId="5" fillId="0" borderId="1" xfId="0" applyNumberFormat="1" applyFont="1" applyBorder="1" applyAlignment="1">
      <alignment horizontal="center"/>
    </xf>
    <xf numFmtId="164" fontId="5" fillId="0" borderId="0" xfId="0" applyNumberFormat="1" applyFont="1" applyAlignment="1">
      <alignment horizontal="center"/>
    </xf>
    <xf numFmtId="0" fontId="103" fillId="12" borderId="0" xfId="0" applyFont="1" applyFill="1" applyAlignment="1">
      <alignment horizontal="center"/>
    </xf>
    <xf numFmtId="0" fontId="34" fillId="13" borderId="8" xfId="0" applyFont="1" applyFill="1" applyBorder="1" applyAlignment="1">
      <alignment wrapText="1"/>
    </xf>
    <xf numFmtId="0" fontId="80" fillId="14" borderId="96" xfId="0" applyFont="1" applyFill="1" applyBorder="1"/>
    <xf numFmtId="0" fontId="48" fillId="0" borderId="8" xfId="0" applyFont="1" applyBorder="1"/>
    <xf numFmtId="0" fontId="165" fillId="0" borderId="8" xfId="0" applyFont="1" applyBorder="1" applyAlignment="1">
      <alignment horizontal="center"/>
    </xf>
    <xf numFmtId="0" fontId="48" fillId="2" borderId="8" xfId="0" applyFont="1" applyFill="1" applyBorder="1" applyAlignment="1">
      <alignment wrapText="1"/>
    </xf>
    <xf numFmtId="0" fontId="48" fillId="2" borderId="8" xfId="0" applyFont="1" applyFill="1" applyBorder="1" applyAlignment="1">
      <alignment horizontal="center"/>
    </xf>
    <xf numFmtId="0" fontId="80" fillId="0" borderId="8" xfId="0" applyFont="1" applyBorder="1"/>
    <xf numFmtId="0" fontId="42" fillId="18" borderId="47" xfId="0" applyFont="1" applyFill="1" applyBorder="1" applyAlignment="1">
      <alignment horizontal="center"/>
    </xf>
    <xf numFmtId="2" fontId="28" fillId="18" borderId="48" xfId="0" applyNumberFormat="1" applyFont="1" applyFill="1" applyBorder="1" applyAlignment="1">
      <alignment horizontal="center"/>
    </xf>
    <xf numFmtId="0" fontId="80" fillId="0" borderId="100" xfId="0" applyFont="1" applyBorder="1" applyAlignment="1">
      <alignment horizontal="center"/>
    </xf>
    <xf numFmtId="0" fontId="42" fillId="6" borderId="8" xfId="0" applyFont="1" applyFill="1" applyBorder="1" applyAlignment="1">
      <alignment horizontal="center"/>
    </xf>
    <xf numFmtId="0" fontId="42" fillId="0" borderId="8" xfId="0" applyFont="1" applyBorder="1" applyAlignment="1">
      <alignment horizontal="center"/>
    </xf>
    <xf numFmtId="2" fontId="99" fillId="13" borderId="8" xfId="0" applyNumberFormat="1" applyFont="1" applyFill="1" applyBorder="1" applyAlignment="1">
      <alignment horizontal="center"/>
    </xf>
    <xf numFmtId="0" fontId="80" fillId="18" borderId="8" xfId="0" applyFont="1" applyFill="1" applyBorder="1"/>
    <xf numFmtId="0" fontId="80" fillId="12" borderId="8" xfId="0" applyFont="1" applyFill="1" applyBorder="1"/>
    <xf numFmtId="0" fontId="80" fillId="0" borderId="100" xfId="0" applyFont="1" applyBorder="1"/>
    <xf numFmtId="0" fontId="166" fillId="6" borderId="8" xfId="0" applyFont="1" applyFill="1" applyBorder="1" applyAlignment="1">
      <alignment horizontal="center"/>
    </xf>
    <xf numFmtId="0" fontId="80" fillId="0" borderId="99" xfId="0" applyFont="1" applyBorder="1"/>
    <xf numFmtId="2" fontId="136" fillId="12" borderId="0" xfId="0" applyNumberFormat="1" applyFont="1" applyFill="1" applyAlignment="1">
      <alignment horizontal="left" wrapText="1"/>
    </xf>
    <xf numFmtId="0" fontId="3" fillId="0" borderId="100" xfId="0" applyFont="1" applyBorder="1"/>
    <xf numFmtId="0" fontId="3" fillId="0" borderId="99" xfId="0" applyFont="1" applyBorder="1"/>
    <xf numFmtId="0" fontId="13" fillId="0" borderId="8" xfId="0" applyFont="1" applyBorder="1" applyAlignment="1">
      <alignment horizontal="center"/>
    </xf>
    <xf numFmtId="165" fontId="13" fillId="13" borderId="103" xfId="0" applyNumberFormat="1" applyFont="1" applyFill="1" applyBorder="1" applyAlignment="1">
      <alignment horizontal="center"/>
    </xf>
    <xf numFmtId="0" fontId="157" fillId="11" borderId="15" xfId="0" applyFont="1" applyFill="1" applyBorder="1" applyAlignment="1">
      <alignment horizontal="left"/>
    </xf>
    <xf numFmtId="164" fontId="167" fillId="0" borderId="1" xfId="0" applyNumberFormat="1" applyFont="1" applyBorder="1" applyAlignment="1">
      <alignment horizontal="center"/>
    </xf>
    <xf numFmtId="164" fontId="167" fillId="0" borderId="0" xfId="0" applyNumberFormat="1" applyFont="1" applyAlignment="1">
      <alignment horizontal="center"/>
    </xf>
    <xf numFmtId="0" fontId="158" fillId="11" borderId="0" xfId="0" applyFont="1" applyFill="1" applyAlignment="1">
      <alignment horizontal="center"/>
    </xf>
    <xf numFmtId="0" fontId="160" fillId="12" borderId="5" xfId="0" applyFont="1" applyFill="1" applyBorder="1" applyAlignment="1">
      <alignment horizontal="center"/>
    </xf>
    <xf numFmtId="0" fontId="80" fillId="0" borderId="96" xfId="0" applyFont="1" applyBorder="1"/>
    <xf numFmtId="0" fontId="80" fillId="0" borderId="97" xfId="0" applyFont="1" applyBorder="1"/>
    <xf numFmtId="0" fontId="28" fillId="0" borderId="99" xfId="0" applyFont="1" applyBorder="1"/>
    <xf numFmtId="2" fontId="136" fillId="12" borderId="0" xfId="0" applyNumberFormat="1" applyFont="1" applyFill="1" applyAlignment="1">
      <alignment horizontal="center" vertical="top" wrapText="1"/>
    </xf>
    <xf numFmtId="2" fontId="136" fillId="12" borderId="0" xfId="0" applyNumberFormat="1" applyFont="1" applyFill="1" applyAlignment="1">
      <alignment horizontal="left" vertical="top" wrapText="1"/>
    </xf>
    <xf numFmtId="0" fontId="42" fillId="29" borderId="8" xfId="0" applyFont="1" applyFill="1" applyBorder="1"/>
    <xf numFmtId="0" fontId="168" fillId="6" borderId="31" xfId="0" applyFont="1" applyFill="1" applyBorder="1" applyAlignment="1">
      <alignment horizontal="center"/>
    </xf>
    <xf numFmtId="0" fontId="168" fillId="12" borderId="8" xfId="0" applyFont="1" applyFill="1" applyBorder="1"/>
    <xf numFmtId="0" fontId="168" fillId="12" borderId="8" xfId="0" applyFont="1" applyFill="1" applyBorder="1" applyAlignment="1">
      <alignment horizontal="center"/>
    </xf>
    <xf numFmtId="0" fontId="172" fillId="12" borderId="8" xfId="0" applyFont="1" applyFill="1" applyBorder="1"/>
    <xf numFmtId="0" fontId="173" fillId="12" borderId="5" xfId="0" applyFont="1" applyFill="1" applyBorder="1" applyAlignment="1">
      <alignment horizontal="left"/>
    </xf>
    <xf numFmtId="0" fontId="120" fillId="0" borderId="56" xfId="0" applyFont="1" applyBorder="1"/>
    <xf numFmtId="0" fontId="120" fillId="0" borderId="5" xfId="0" applyFont="1" applyBorder="1" applyAlignment="1">
      <alignment horizontal="left"/>
    </xf>
    <xf numFmtId="0" fontId="42" fillId="11" borderId="8" xfId="0" applyFont="1" applyFill="1" applyBorder="1" applyAlignment="1">
      <alignment horizontal="center"/>
    </xf>
    <xf numFmtId="0" fontId="170" fillId="12" borderId="0" xfId="0" applyFont="1" applyFill="1" applyAlignment="1">
      <alignment horizontal="center" wrapText="1"/>
    </xf>
    <xf numFmtId="0" fontId="106" fillId="12" borderId="47" xfId="0" applyFont="1" applyFill="1" applyBorder="1" applyAlignment="1">
      <alignment horizontal="center" wrapText="1"/>
    </xf>
    <xf numFmtId="164" fontId="92" fillId="12" borderId="54" xfId="0" applyNumberFormat="1" applyFont="1" applyFill="1" applyBorder="1" applyAlignment="1">
      <alignment horizontal="center"/>
    </xf>
    <xf numFmtId="0" fontId="176" fillId="11" borderId="13" xfId="0" applyFont="1" applyFill="1" applyBorder="1"/>
    <xf numFmtId="0" fontId="174" fillId="0" borderId="0" xfId="0" applyFont="1" applyAlignment="1">
      <alignment horizontal="center" wrapText="1"/>
    </xf>
    <xf numFmtId="0" fontId="174" fillId="0" borderId="8" xfId="0" applyFont="1" applyBorder="1" applyAlignment="1">
      <alignment horizontal="center" wrapText="1"/>
    </xf>
    <xf numFmtId="0" fontId="176" fillId="0" borderId="8" xfId="0" applyFont="1" applyBorder="1" applyAlignment="1">
      <alignment horizontal="center"/>
    </xf>
    <xf numFmtId="0" fontId="1" fillId="11" borderId="8" xfId="0" applyFont="1" applyFill="1" applyBorder="1" applyAlignment="1">
      <alignment horizontal="center" wrapText="1"/>
    </xf>
    <xf numFmtId="0" fontId="28" fillId="2" borderId="8" xfId="0" applyFont="1" applyFill="1" applyBorder="1"/>
    <xf numFmtId="0" fontId="42" fillId="2" borderId="8" xfId="0" applyFont="1" applyFill="1" applyBorder="1" applyAlignment="1">
      <alignment horizontal="center"/>
    </xf>
    <xf numFmtId="0" fontId="28" fillId="7" borderId="8" xfId="0" applyFont="1" applyFill="1" applyBorder="1" applyAlignment="1">
      <alignment horizontal="center" wrapText="1"/>
    </xf>
    <xf numFmtId="0" fontId="42" fillId="7" borderId="8" xfId="0" applyFont="1" applyFill="1" applyBorder="1" applyAlignment="1">
      <alignment horizontal="center"/>
    </xf>
    <xf numFmtId="0" fontId="176" fillId="7" borderId="8" xfId="0" applyFont="1" applyFill="1" applyBorder="1" applyAlignment="1">
      <alignment horizontal="center"/>
    </xf>
    <xf numFmtId="0" fontId="169" fillId="12" borderId="0" xfId="0" applyFont="1" applyFill="1" applyAlignment="1">
      <alignment horizontal="center" vertical="center" wrapText="1"/>
    </xf>
    <xf numFmtId="0" fontId="28" fillId="0" borderId="0" xfId="0" applyFont="1" applyAlignment="1">
      <alignment horizontal="center" vertical="center" wrapText="1"/>
    </xf>
    <xf numFmtId="0" fontId="177" fillId="12" borderId="31" xfId="0" applyFont="1" applyFill="1" applyBorder="1" applyAlignment="1">
      <alignment horizontal="center"/>
    </xf>
    <xf numFmtId="2" fontId="92" fillId="12" borderId="5" xfId="0" applyNumberFormat="1" applyFont="1" applyFill="1" applyBorder="1" applyAlignment="1">
      <alignment horizontal="left" vertical="top" wrapText="1"/>
    </xf>
    <xf numFmtId="0" fontId="106" fillId="0" borderId="56" xfId="0" applyFont="1" applyBorder="1"/>
    <xf numFmtId="0" fontId="106" fillId="0" borderId="5" xfId="0" applyFont="1" applyBorder="1" applyAlignment="1">
      <alignment horizontal="left"/>
    </xf>
    <xf numFmtId="0" fontId="28" fillId="9" borderId="0" xfId="0" applyFont="1" applyFill="1" applyAlignment="1">
      <alignment horizontal="center" vertical="center" wrapText="1"/>
    </xf>
    <xf numFmtId="0" fontId="176" fillId="11" borderId="8" xfId="0" applyFont="1" applyFill="1" applyBorder="1" applyAlignment="1">
      <alignment horizontal="center"/>
    </xf>
    <xf numFmtId="0" fontId="174" fillId="11" borderId="0" xfId="0" applyFont="1" applyFill="1" applyAlignment="1">
      <alignment horizontal="center" wrapText="1"/>
    </xf>
    <xf numFmtId="0" fontId="159" fillId="12" borderId="8" xfId="0" applyFont="1" applyFill="1" applyBorder="1" applyAlignment="1">
      <alignment horizontal="center"/>
    </xf>
    <xf numFmtId="0" fontId="175" fillId="12" borderId="8" xfId="0" applyFont="1" applyFill="1" applyBorder="1" applyAlignment="1">
      <alignment horizontal="center"/>
    </xf>
    <xf numFmtId="0" fontId="28" fillId="12" borderId="8" xfId="0" applyFont="1" applyFill="1" applyBorder="1" applyAlignment="1">
      <alignment horizontal="center" vertical="center"/>
    </xf>
    <xf numFmtId="0" fontId="171" fillId="12" borderId="8" xfId="0" applyFont="1" applyFill="1" applyBorder="1" applyAlignment="1">
      <alignment horizontal="center" vertical="center"/>
    </xf>
    <xf numFmtId="0" fontId="158" fillId="13" borderId="0" xfId="0" applyFont="1" applyFill="1" applyAlignment="1">
      <alignment horizontal="center"/>
    </xf>
    <xf numFmtId="0" fontId="11" fillId="0" borderId="8" xfId="0" applyFont="1" applyBorder="1" applyAlignment="1">
      <alignment horizontal="center"/>
    </xf>
    <xf numFmtId="0" fontId="8" fillId="0" borderId="8" xfId="0" applyFont="1" applyBorder="1" applyAlignment="1">
      <alignment horizontal="center"/>
    </xf>
    <xf numFmtId="0" fontId="177" fillId="23" borderId="31" xfId="0" applyFont="1" applyFill="1" applyBorder="1" applyAlignment="1">
      <alignment horizontal="center"/>
    </xf>
    <xf numFmtId="0" fontId="48" fillId="23" borderId="8" xfId="0" applyFont="1" applyFill="1" applyBorder="1"/>
    <xf numFmtId="0" fontId="172" fillId="23" borderId="8" xfId="0" applyFont="1" applyFill="1" applyBorder="1"/>
    <xf numFmtId="0" fontId="170" fillId="12" borderId="0" xfId="0" applyFont="1" applyFill="1" applyAlignment="1">
      <alignment horizontal="center" vertical="top" wrapText="1"/>
    </xf>
    <xf numFmtId="0" fontId="174" fillId="11" borderId="0" xfId="0" applyFont="1" applyFill="1" applyAlignment="1">
      <alignment horizontal="center" vertical="top" wrapText="1"/>
    </xf>
    <xf numFmtId="0" fontId="97" fillId="0" borderId="8" xfId="0" applyFont="1" applyBorder="1" applyAlignment="1">
      <alignment horizontal="center"/>
    </xf>
    <xf numFmtId="0" fontId="174" fillId="0" borderId="0" xfId="0" applyFont="1"/>
    <xf numFmtId="0" fontId="157" fillId="11" borderId="0" xfId="0" applyFont="1" applyFill="1" applyAlignment="1">
      <alignment horizontal="center"/>
    </xf>
    <xf numFmtId="0" fontId="178" fillId="11" borderId="8" xfId="0" applyFont="1" applyFill="1" applyBorder="1" applyAlignment="1">
      <alignment horizontal="center" wrapText="1"/>
    </xf>
    <xf numFmtId="0" fontId="28" fillId="9" borderId="0" xfId="0" applyFont="1" applyFill="1" applyAlignment="1">
      <alignment horizontal="center" vertical="top" wrapText="1"/>
    </xf>
    <xf numFmtId="0" fontId="177" fillId="13" borderId="31" xfId="0" applyFont="1" applyFill="1" applyBorder="1" applyAlignment="1">
      <alignment horizontal="center"/>
    </xf>
    <xf numFmtId="0" fontId="178" fillId="11" borderId="12" xfId="0" applyFont="1" applyFill="1" applyBorder="1" applyAlignment="1">
      <alignment horizontal="center" wrapText="1"/>
    </xf>
    <xf numFmtId="0" fontId="42" fillId="0" borderId="0" xfId="0" applyFont="1" applyAlignment="1">
      <alignment horizontal="center"/>
    </xf>
    <xf numFmtId="0" fontId="28" fillId="0" borderId="0" xfId="0" applyFont="1" applyAlignment="1">
      <alignment horizontal="center" vertical="top" wrapText="1"/>
    </xf>
    <xf numFmtId="0" fontId="176" fillId="11" borderId="13" xfId="0" applyFont="1" applyFill="1" applyBorder="1" applyAlignment="1">
      <alignment horizontal="center"/>
    </xf>
    <xf numFmtId="0" fontId="179" fillId="11" borderId="19" xfId="0" applyFont="1" applyFill="1" applyBorder="1"/>
    <xf numFmtId="0" fontId="156" fillId="11" borderId="17" xfId="0" applyFont="1" applyFill="1" applyBorder="1"/>
    <xf numFmtId="0" fontId="156" fillId="11" borderId="18" xfId="0" applyFont="1" applyFill="1" applyBorder="1"/>
    <xf numFmtId="0" fontId="42" fillId="7" borderId="0" xfId="0" applyFont="1" applyFill="1" applyAlignment="1">
      <alignment horizontal="center"/>
    </xf>
    <xf numFmtId="0" fontId="99" fillId="13" borderId="100" xfId="0" applyFont="1" applyFill="1" applyBorder="1" applyAlignment="1">
      <alignment horizontal="left"/>
    </xf>
    <xf numFmtId="0" fontId="150" fillId="13" borderId="0" xfId="0" applyFont="1" applyFill="1" applyAlignment="1">
      <alignment horizontal="center"/>
    </xf>
    <xf numFmtId="0" fontId="181" fillId="20" borderId="8" xfId="1" applyFont="1" applyFill="1" applyBorder="1" applyAlignment="1">
      <alignment horizontal="center"/>
    </xf>
    <xf numFmtId="0" fontId="180" fillId="12" borderId="8" xfId="0" applyFont="1" applyFill="1" applyBorder="1" applyAlignment="1">
      <alignment horizontal="left"/>
    </xf>
    <xf numFmtId="0" fontId="129" fillId="12" borderId="0" xfId="1" applyFont="1" applyFill="1"/>
    <xf numFmtId="49" fontId="42" fillId="16" borderId="29" xfId="2" applyNumberFormat="1" applyFont="1" applyFill="1" applyBorder="1" applyAlignment="1">
      <alignment horizontal="left" vertical="top" wrapText="1"/>
    </xf>
    <xf numFmtId="0" fontId="182" fillId="12" borderId="7" xfId="1" applyFont="1" applyFill="1" applyBorder="1"/>
    <xf numFmtId="0" fontId="167" fillId="12" borderId="16" xfId="1" applyFont="1" applyFill="1" applyBorder="1" applyAlignment="1">
      <alignment horizontal="center"/>
    </xf>
    <xf numFmtId="0" fontId="157" fillId="11" borderId="8" xfId="0" applyFont="1" applyFill="1" applyBorder="1" applyAlignment="1">
      <alignment horizontal="center" wrapText="1"/>
    </xf>
    <xf numFmtId="0" fontId="183" fillId="11" borderId="13" xfId="1" applyFont="1" applyFill="1" applyBorder="1" applyAlignment="1">
      <alignment horizontal="center" wrapText="1"/>
    </xf>
    <xf numFmtId="0" fontId="158" fillId="11" borderId="0" xfId="1" applyFont="1" applyFill="1" applyAlignment="1">
      <alignment horizontal="center"/>
    </xf>
    <xf numFmtId="0" fontId="171" fillId="12" borderId="8" xfId="2" applyFont="1" applyFill="1" applyBorder="1" applyAlignment="1">
      <alignment horizontal="center" wrapText="1"/>
    </xf>
    <xf numFmtId="0" fontId="54" fillId="0" borderId="0" xfId="1" applyFont="1"/>
    <xf numFmtId="0" fontId="174" fillId="11" borderId="8" xfId="2" applyFont="1" applyFill="1" applyBorder="1"/>
    <xf numFmtId="0" fontId="129" fillId="12" borderId="0" xfId="1" applyFont="1" applyFill="1" applyAlignment="1">
      <alignment horizontal="center" wrapText="1"/>
    </xf>
    <xf numFmtId="0" fontId="158" fillId="0" borderId="0" xfId="1" applyFont="1" applyAlignment="1">
      <alignment horizontal="center"/>
    </xf>
    <xf numFmtId="0" fontId="175" fillId="0" borderId="0" xfId="0" applyFont="1"/>
    <xf numFmtId="0" fontId="28" fillId="7" borderId="0" xfId="0" applyFont="1" applyFill="1" applyAlignment="1">
      <alignment horizontal="center"/>
    </xf>
    <xf numFmtId="0" fontId="172" fillId="30" borderId="8" xfId="0" applyFont="1" applyFill="1" applyBorder="1"/>
    <xf numFmtId="0" fontId="177" fillId="30" borderId="31" xfId="0" applyFont="1" applyFill="1" applyBorder="1" applyAlignment="1">
      <alignment horizontal="center"/>
    </xf>
    <xf numFmtId="0" fontId="44" fillId="30" borderId="8" xfId="0" applyFont="1" applyFill="1" applyBorder="1"/>
    <xf numFmtId="0" fontId="48" fillId="30" borderId="8" xfId="0" applyFont="1" applyFill="1" applyBorder="1"/>
    <xf numFmtId="0" fontId="172" fillId="0" borderId="8" xfId="0" applyFont="1" applyBorder="1"/>
    <xf numFmtId="0" fontId="177" fillId="0" borderId="31" xfId="0" applyFont="1" applyBorder="1" applyAlignment="1">
      <alignment horizontal="center"/>
    </xf>
    <xf numFmtId="0" fontId="184" fillId="13" borderId="8" xfId="0" applyFont="1" applyFill="1" applyBorder="1" applyAlignment="1">
      <alignment horizontal="center"/>
    </xf>
    <xf numFmtId="0" fontId="181" fillId="12" borderId="0" xfId="0" applyFont="1" applyFill="1"/>
    <xf numFmtId="0" fontId="0" fillId="23" borderId="16" xfId="0" applyFill="1" applyBorder="1"/>
    <xf numFmtId="0" fontId="28" fillId="0" borderId="8" xfId="0" applyFont="1" applyBorder="1" applyAlignment="1">
      <alignment horizontal="center" vertical="center"/>
    </xf>
    <xf numFmtId="0" fontId="99" fillId="0" borderId="0" xfId="0" applyFont="1" applyAlignment="1">
      <alignment horizontal="center"/>
    </xf>
    <xf numFmtId="0" fontId="5" fillId="2" borderId="0" xfId="0" applyFont="1" applyFill="1"/>
    <xf numFmtId="0" fontId="8" fillId="2" borderId="0" xfId="0" applyFont="1" applyFill="1" applyAlignment="1" applyProtection="1">
      <alignment horizontal="center"/>
      <protection locked="0"/>
    </xf>
    <xf numFmtId="0" fontId="66" fillId="11" borderId="0" xfId="0" applyFont="1" applyFill="1" applyAlignment="1">
      <alignment horizontal="center"/>
    </xf>
    <xf numFmtId="0" fontId="69" fillId="7" borderId="0" xfId="0" applyFont="1" applyFill="1"/>
    <xf numFmtId="0" fontId="42" fillId="11" borderId="0" xfId="0" applyFont="1" applyFill="1" applyAlignment="1">
      <alignment horizontal="center"/>
    </xf>
    <xf numFmtId="2" fontId="44" fillId="2" borderId="14" xfId="0" applyNumberFormat="1" applyFont="1" applyFill="1" applyBorder="1" applyAlignment="1">
      <alignment horizontal="center"/>
    </xf>
    <xf numFmtId="2" fontId="44" fillId="2" borderId="7" xfId="0" applyNumberFormat="1" applyFont="1" applyFill="1" applyBorder="1" applyAlignment="1">
      <alignment horizontal="center"/>
    </xf>
    <xf numFmtId="0" fontId="185" fillId="12" borderId="8" xfId="0" applyFont="1" applyFill="1" applyBorder="1" applyAlignment="1">
      <alignment horizontal="left"/>
    </xf>
    <xf numFmtId="165" fontId="186" fillId="12" borderId="8" xfId="0" applyNumberFormat="1" applyFont="1" applyFill="1" applyBorder="1" applyAlignment="1">
      <alignment horizontal="center"/>
    </xf>
    <xf numFmtId="0" fontId="186" fillId="12" borderId="8" xfId="0" applyFont="1" applyFill="1" applyBorder="1" applyAlignment="1">
      <alignment horizontal="left"/>
    </xf>
    <xf numFmtId="0" fontId="99" fillId="13" borderId="8" xfId="0" applyFont="1" applyFill="1" applyBorder="1" applyAlignment="1">
      <alignment horizontal="left"/>
    </xf>
    <xf numFmtId="0" fontId="0" fillId="13" borderId="8" xfId="0" applyFill="1" applyBorder="1"/>
    <xf numFmtId="0" fontId="99" fillId="13" borderId="8" xfId="0" applyFont="1" applyFill="1" applyBorder="1"/>
    <xf numFmtId="0" fontId="0" fillId="0" borderId="8" xfId="0" applyBorder="1"/>
    <xf numFmtId="165" fontId="150" fillId="12" borderId="8" xfId="0" applyNumberFormat="1" applyFont="1" applyFill="1" applyBorder="1" applyAlignment="1">
      <alignment horizontal="center"/>
    </xf>
    <xf numFmtId="0" fontId="187" fillId="31" borderId="8" xfId="0" applyFont="1" applyFill="1" applyBorder="1" applyAlignment="1">
      <alignment vertical="center"/>
    </xf>
    <xf numFmtId="165" fontId="99" fillId="12" borderId="8" xfId="0" applyNumberFormat="1" applyFont="1" applyFill="1" applyBorder="1" applyAlignment="1">
      <alignment horizontal="center"/>
    </xf>
    <xf numFmtId="0" fontId="80" fillId="13" borderId="8" xfId="0" applyFont="1" applyFill="1" applyBorder="1"/>
    <xf numFmtId="0" fontId="92" fillId="12" borderId="0" xfId="0" applyFont="1" applyFill="1"/>
    <xf numFmtId="49" fontId="5" fillId="12" borderId="7" xfId="1" applyNumberFormat="1" applyFont="1" applyFill="1" applyBorder="1" applyAlignment="1">
      <alignment horizontal="center" wrapText="1"/>
    </xf>
    <xf numFmtId="0" fontId="1" fillId="12" borderId="5" xfId="1" applyFill="1" applyBorder="1"/>
    <xf numFmtId="0" fontId="5" fillId="2" borderId="3" xfId="1" applyFont="1" applyFill="1" applyBorder="1" applyAlignment="1">
      <alignment horizontal="center" vertical="center"/>
    </xf>
    <xf numFmtId="0" fontId="42" fillId="12" borderId="8" xfId="0" applyFont="1" applyFill="1" applyBorder="1"/>
    <xf numFmtId="0" fontId="171" fillId="12" borderId="8" xfId="0" applyFont="1" applyFill="1" applyBorder="1" applyAlignment="1">
      <alignment horizontal="right"/>
    </xf>
    <xf numFmtId="0" fontId="171" fillId="12" borderId="8" xfId="0" applyFont="1" applyFill="1" applyBorder="1" applyAlignment="1">
      <alignment horizontal="center"/>
    </xf>
    <xf numFmtId="1" fontId="186" fillId="12" borderId="8" xfId="0" applyNumberFormat="1" applyFont="1" applyFill="1" applyBorder="1" applyAlignment="1">
      <alignment horizontal="center"/>
    </xf>
    <xf numFmtId="0" fontId="44" fillId="12" borderId="8" xfId="0" applyFont="1" applyFill="1" applyBorder="1" applyAlignment="1">
      <alignment horizontal="center"/>
    </xf>
    <xf numFmtId="0" fontId="1" fillId="12" borderId="8" xfId="1" applyFill="1" applyBorder="1"/>
    <xf numFmtId="0" fontId="8" fillId="12" borderId="8" xfId="1" applyFont="1" applyFill="1" applyBorder="1"/>
    <xf numFmtId="164" fontId="44" fillId="12" borderId="8" xfId="0" applyNumberFormat="1" applyFont="1" applyFill="1" applyBorder="1"/>
    <xf numFmtId="0" fontId="171" fillId="12" borderId="8" xfId="0" applyFont="1" applyFill="1" applyBorder="1" applyAlignment="1">
      <alignment horizontal="left"/>
    </xf>
    <xf numFmtId="1" fontId="186" fillId="12" borderId="15" xfId="0" applyNumberFormat="1" applyFont="1" applyFill="1" applyBorder="1" applyAlignment="1">
      <alignment horizontal="center"/>
    </xf>
    <xf numFmtId="0" fontId="1" fillId="0" borderId="9" xfId="1" applyBorder="1"/>
    <xf numFmtId="0" fontId="28" fillId="12" borderId="25" xfId="0" applyFont="1" applyFill="1" applyBorder="1"/>
    <xf numFmtId="0" fontId="28" fillId="12" borderId="50" xfId="0" applyFont="1" applyFill="1" applyBorder="1"/>
    <xf numFmtId="0" fontId="42" fillId="12" borderId="51" xfId="0" applyFont="1" applyFill="1" applyBorder="1"/>
    <xf numFmtId="0" fontId="28" fillId="12" borderId="52" xfId="0" applyFont="1" applyFill="1" applyBorder="1"/>
    <xf numFmtId="0" fontId="44" fillId="12" borderId="52" xfId="0" applyFont="1" applyFill="1" applyBorder="1"/>
    <xf numFmtId="0" fontId="1" fillId="0" borderId="10" xfId="1" applyBorder="1"/>
    <xf numFmtId="164" fontId="5" fillId="13" borderId="0" xfId="0" applyNumberFormat="1" applyFont="1" applyFill="1" applyAlignment="1">
      <alignment horizontal="center"/>
    </xf>
    <xf numFmtId="0" fontId="171" fillId="12" borderId="52" xfId="0" applyFont="1" applyFill="1" applyBorder="1" applyAlignment="1">
      <alignment horizontal="center"/>
    </xf>
    <xf numFmtId="0" fontId="1" fillId="0" borderId="6" xfId="1" applyBorder="1"/>
    <xf numFmtId="0" fontId="171" fillId="12" borderId="18" xfId="0" applyFont="1" applyFill="1" applyBorder="1" applyAlignment="1">
      <alignment horizontal="left"/>
    </xf>
    <xf numFmtId="0" fontId="44" fillId="12" borderId="18" xfId="0" applyFont="1" applyFill="1" applyBorder="1" applyAlignment="1">
      <alignment horizontal="center"/>
    </xf>
    <xf numFmtId="0" fontId="1" fillId="12" borderId="18" xfId="1" applyFill="1" applyBorder="1"/>
    <xf numFmtId="1" fontId="186" fillId="12" borderId="54" xfId="0" applyNumberFormat="1" applyFont="1" applyFill="1" applyBorder="1" applyAlignment="1">
      <alignment horizontal="center"/>
    </xf>
    <xf numFmtId="2" fontId="181" fillId="32" borderId="5" xfId="0" applyNumberFormat="1" applyFont="1" applyFill="1" applyBorder="1" applyAlignment="1">
      <alignment horizontal="center"/>
    </xf>
    <xf numFmtId="2" fontId="181" fillId="32" borderId="14" xfId="1" applyNumberFormat="1" applyFont="1" applyFill="1" applyBorder="1" applyAlignment="1">
      <alignment horizontal="center"/>
    </xf>
    <xf numFmtId="0" fontId="4" fillId="5" borderId="5" xfId="1" applyFont="1" applyFill="1" applyBorder="1" applyAlignment="1" applyProtection="1">
      <alignment horizontal="center" vertical="center"/>
      <protection locked="0"/>
    </xf>
    <xf numFmtId="1" fontId="108" fillId="0" borderId="90" xfId="0" applyNumberFormat="1" applyFont="1" applyBorder="1" applyAlignment="1">
      <alignment horizontal="right"/>
    </xf>
    <xf numFmtId="1" fontId="108" fillId="0" borderId="91" xfId="0" applyNumberFormat="1" applyFont="1" applyBorder="1" applyAlignment="1">
      <alignment horizontal="right"/>
    </xf>
    <xf numFmtId="1" fontId="113" fillId="0" borderId="70" xfId="0" applyNumberFormat="1" applyFont="1" applyBorder="1" applyAlignment="1">
      <alignment horizontal="right"/>
    </xf>
    <xf numFmtId="1" fontId="113" fillId="0" borderId="71" xfId="0" applyNumberFormat="1" applyFont="1" applyBorder="1" applyAlignment="1">
      <alignment horizontal="right"/>
    </xf>
    <xf numFmtId="1" fontId="110" fillId="0" borderId="76" xfId="0" applyNumberFormat="1" applyFont="1" applyBorder="1" applyAlignment="1">
      <alignment horizontal="right"/>
    </xf>
    <xf numFmtId="1" fontId="110" fillId="0" borderId="77" xfId="0" applyNumberFormat="1" applyFont="1" applyBorder="1" applyAlignment="1">
      <alignment horizontal="right"/>
    </xf>
    <xf numFmtId="0" fontId="57" fillId="10" borderId="1" xfId="0" applyFont="1" applyFill="1" applyBorder="1" applyAlignment="1">
      <alignment horizontal="center"/>
    </xf>
    <xf numFmtId="0" fontId="57" fillId="10" borderId="21" xfId="0" applyFont="1" applyFill="1" applyBorder="1" applyAlignment="1">
      <alignment horizontal="center"/>
    </xf>
    <xf numFmtId="0" fontId="57" fillId="10" borderId="2" xfId="0" applyFont="1" applyFill="1" applyBorder="1" applyAlignment="1">
      <alignment horizontal="center"/>
    </xf>
    <xf numFmtId="0" fontId="57" fillId="10" borderId="3" xfId="0" applyFont="1" applyFill="1" applyBorder="1" applyAlignment="1">
      <alignment horizontal="center"/>
    </xf>
    <xf numFmtId="0" fontId="42" fillId="0" borderId="0" xfId="0" applyFont="1" applyAlignment="1">
      <alignment horizontal="center" vertical="center" wrapText="1"/>
    </xf>
    <xf numFmtId="0" fontId="42" fillId="0" borderId="0" xfId="0" applyFont="1" applyAlignment="1">
      <alignment horizontal="center" vertical="center"/>
    </xf>
    <xf numFmtId="1" fontId="108" fillId="0" borderId="89" xfId="0" applyNumberFormat="1" applyFont="1" applyBorder="1" applyAlignment="1">
      <alignment horizontal="left"/>
    </xf>
    <xf numFmtId="1" fontId="108" fillId="0" borderId="90" xfId="0" applyNumberFormat="1" applyFont="1" applyBorder="1" applyAlignment="1">
      <alignment horizontal="left"/>
    </xf>
    <xf numFmtId="1" fontId="110" fillId="0" borderId="75" xfId="0" applyNumberFormat="1" applyFont="1" applyBorder="1" applyAlignment="1">
      <alignment horizontal="left"/>
    </xf>
    <xf numFmtId="1" fontId="110" fillId="0" borderId="76" xfId="0" applyNumberFormat="1" applyFont="1" applyBorder="1" applyAlignment="1">
      <alignment horizontal="left"/>
    </xf>
    <xf numFmtId="0" fontId="57" fillId="10" borderId="9" xfId="0" applyFont="1" applyFill="1" applyBorder="1" applyAlignment="1">
      <alignment horizontal="center"/>
    </xf>
    <xf numFmtId="0" fontId="57" fillId="10" borderId="6" xfId="0" applyFont="1" applyFill="1" applyBorder="1" applyAlignment="1">
      <alignment horizontal="center"/>
    </xf>
    <xf numFmtId="1" fontId="24" fillId="0" borderId="0" xfId="0" applyNumberFormat="1" applyFont="1" applyAlignment="1">
      <alignment horizontal="right"/>
    </xf>
    <xf numFmtId="1" fontId="33" fillId="0" borderId="0" xfId="0" applyNumberFormat="1" applyFont="1" applyAlignment="1">
      <alignment horizontal="center"/>
    </xf>
    <xf numFmtId="0" fontId="16" fillId="0" borderId="0" xfId="0" applyFont="1" applyAlignment="1">
      <alignment horizontal="center"/>
    </xf>
    <xf numFmtId="49" fontId="101" fillId="15" borderId="47" xfId="0" applyNumberFormat="1" applyFont="1" applyFill="1" applyBorder="1" applyAlignment="1">
      <alignment horizontal="center" vertical="center" wrapText="1"/>
    </xf>
    <xf numFmtId="49" fontId="101" fillId="15" borderId="48" xfId="0" applyNumberFormat="1" applyFont="1" applyFill="1" applyBorder="1" applyAlignment="1">
      <alignment horizontal="center" vertical="center" wrapText="1"/>
    </xf>
    <xf numFmtId="0" fontId="5" fillId="0" borderId="0" xfId="0" applyFont="1" applyAlignment="1">
      <alignment horizontal="right"/>
    </xf>
    <xf numFmtId="1" fontId="24" fillId="0" borderId="0" xfId="0" applyNumberFormat="1" applyFont="1" applyAlignment="1">
      <alignment horizontal="left"/>
    </xf>
    <xf numFmtId="2" fontId="40" fillId="0" borderId="7" xfId="0" applyNumberFormat="1" applyFont="1" applyBorder="1" applyAlignment="1">
      <alignment horizontal="center" vertical="center"/>
    </xf>
    <xf numFmtId="2" fontId="40" fillId="0" borderId="16" xfId="0" applyNumberFormat="1" applyFont="1" applyBorder="1" applyAlignment="1">
      <alignment horizontal="center" vertical="center"/>
    </xf>
    <xf numFmtId="49" fontId="33" fillId="5" borderId="22" xfId="0" applyNumberFormat="1" applyFont="1" applyFill="1" applyBorder="1" applyAlignment="1">
      <alignment horizontal="center" vertical="center" wrapText="1"/>
    </xf>
    <xf numFmtId="49" fontId="33" fillId="5" borderId="14" xfId="0" applyNumberFormat="1" applyFont="1" applyFill="1" applyBorder="1" applyAlignment="1">
      <alignment horizontal="center" vertical="center" wrapText="1"/>
    </xf>
    <xf numFmtId="2" fontId="70" fillId="0" borderId="7" xfId="0" applyNumberFormat="1" applyFont="1" applyBorder="1" applyAlignment="1">
      <alignment horizontal="center"/>
    </xf>
    <xf numFmtId="2" fontId="70" fillId="0" borderId="16" xfId="0" applyNumberFormat="1" applyFont="1" applyBorder="1" applyAlignment="1">
      <alignment horizontal="center"/>
    </xf>
    <xf numFmtId="49" fontId="42" fillId="16" borderId="0" xfId="0" applyNumberFormat="1" applyFont="1" applyFill="1" applyAlignment="1">
      <alignment horizontal="center" wrapText="1"/>
    </xf>
    <xf numFmtId="0" fontId="83" fillId="0" borderId="0" xfId="0" applyFont="1" applyAlignment="1">
      <alignment horizontal="center" vertical="center"/>
    </xf>
    <xf numFmtId="0" fontId="112" fillId="10" borderId="9" xfId="0" applyFont="1" applyFill="1" applyBorder="1" applyAlignment="1">
      <alignment horizontal="center"/>
    </xf>
    <xf numFmtId="0" fontId="112" fillId="10" borderId="1" xfId="0" applyFont="1" applyFill="1" applyBorder="1" applyAlignment="1">
      <alignment horizontal="center"/>
    </xf>
    <xf numFmtId="0" fontId="112" fillId="10" borderId="6" xfId="0" applyFont="1" applyFill="1" applyBorder="1" applyAlignment="1">
      <alignment horizontal="center"/>
    </xf>
    <xf numFmtId="0" fontId="112" fillId="10" borderId="2" xfId="0" applyFont="1" applyFill="1" applyBorder="1" applyAlignment="1">
      <alignment horizontal="center"/>
    </xf>
    <xf numFmtId="1" fontId="113" fillId="0" borderId="69" xfId="0" applyNumberFormat="1" applyFont="1" applyBorder="1" applyAlignment="1">
      <alignment horizontal="left"/>
    </xf>
    <xf numFmtId="1" fontId="113" fillId="0" borderId="70" xfId="0" applyNumberFormat="1" applyFont="1" applyBorder="1" applyAlignment="1">
      <alignment horizontal="left"/>
    </xf>
    <xf numFmtId="0" fontId="115" fillId="10" borderId="9" xfId="0" applyFont="1" applyFill="1" applyBorder="1" applyAlignment="1">
      <alignment horizontal="center"/>
    </xf>
    <xf numFmtId="0" fontId="115" fillId="10" borderId="1" xfId="0" applyFont="1" applyFill="1" applyBorder="1" applyAlignment="1">
      <alignment horizontal="center"/>
    </xf>
    <xf numFmtId="0" fontId="115" fillId="10" borderId="6" xfId="0" applyFont="1" applyFill="1" applyBorder="1" applyAlignment="1">
      <alignment horizontal="center"/>
    </xf>
    <xf numFmtId="0" fontId="115" fillId="10" borderId="2" xfId="0" applyFont="1" applyFill="1" applyBorder="1" applyAlignment="1">
      <alignment horizontal="center"/>
    </xf>
    <xf numFmtId="1" fontId="130" fillId="0" borderId="90" xfId="0" applyNumberFormat="1" applyFont="1" applyBorder="1" applyAlignment="1">
      <alignment horizontal="right"/>
    </xf>
    <xf numFmtId="1" fontId="130" fillId="0" borderId="91" xfId="0" applyNumberFormat="1" applyFont="1" applyBorder="1" applyAlignment="1">
      <alignment horizontal="right"/>
    </xf>
    <xf numFmtId="49" fontId="42" fillId="16" borderId="0" xfId="0" applyNumberFormat="1" applyFont="1" applyFill="1" applyAlignment="1">
      <alignment horizontal="center" vertical="center" wrapText="1"/>
    </xf>
    <xf numFmtId="2" fontId="70" fillId="0" borderId="7" xfId="0" applyNumberFormat="1" applyFont="1" applyBorder="1" applyAlignment="1">
      <alignment horizontal="center" vertical="center"/>
    </xf>
    <xf numFmtId="2" fontId="70" fillId="0" borderId="16" xfId="0" applyNumberFormat="1" applyFont="1" applyBorder="1" applyAlignment="1">
      <alignment horizontal="center" vertical="center"/>
    </xf>
    <xf numFmtId="49" fontId="33" fillId="23" borderId="22" xfId="0" applyNumberFormat="1" applyFont="1" applyFill="1" applyBorder="1" applyAlignment="1">
      <alignment horizontal="center" vertical="center" wrapText="1"/>
    </xf>
    <xf numFmtId="49" fontId="33" fillId="23" borderId="28" xfId="0" applyNumberFormat="1" applyFont="1" applyFill="1" applyBorder="1" applyAlignment="1">
      <alignment horizontal="center" vertical="center" wrapText="1"/>
    </xf>
    <xf numFmtId="49" fontId="33" fillId="23" borderId="14" xfId="0" applyNumberFormat="1" applyFont="1" applyFill="1" applyBorder="1" applyAlignment="1">
      <alignment horizontal="center" vertical="center" wrapText="1"/>
    </xf>
    <xf numFmtId="2" fontId="70" fillId="0" borderId="13" xfId="0" applyNumberFormat="1" applyFont="1" applyBorder="1" applyAlignment="1">
      <alignment horizontal="center"/>
    </xf>
    <xf numFmtId="2" fontId="40" fillId="15" borderId="7" xfId="1" applyNumberFormat="1" applyFont="1" applyFill="1" applyBorder="1" applyAlignment="1">
      <alignment horizontal="center"/>
    </xf>
    <xf numFmtId="2" fontId="40" fillId="15" borderId="16" xfId="1" applyNumberFormat="1" applyFont="1" applyFill="1" applyBorder="1" applyAlignment="1">
      <alignment horizontal="center"/>
    </xf>
    <xf numFmtId="2" fontId="40" fillId="15" borderId="9" xfId="1" applyNumberFormat="1" applyFont="1" applyFill="1" applyBorder="1" applyAlignment="1">
      <alignment horizontal="center"/>
    </xf>
    <xf numFmtId="2" fontId="40" fillId="15" borderId="21" xfId="1" applyNumberFormat="1" applyFont="1" applyFill="1" applyBorder="1" applyAlignment="1">
      <alignment horizontal="center"/>
    </xf>
    <xf numFmtId="1" fontId="132" fillId="0" borderId="69" xfId="1" applyNumberFormat="1" applyFont="1" applyBorder="1" applyAlignment="1">
      <alignment horizontal="left"/>
    </xf>
    <xf numFmtId="1" fontId="132" fillId="0" borderId="70" xfId="1" applyNumberFormat="1" applyFont="1" applyBorder="1" applyAlignment="1">
      <alignment horizontal="left"/>
    </xf>
    <xf numFmtId="49" fontId="33" fillId="5" borderId="22" xfId="1" applyNumberFormat="1" applyFont="1" applyFill="1" applyBorder="1" applyAlignment="1">
      <alignment horizontal="center" vertical="center" wrapText="1"/>
    </xf>
    <xf numFmtId="49" fontId="33" fillId="5" borderId="28" xfId="1" applyNumberFormat="1" applyFont="1" applyFill="1" applyBorder="1" applyAlignment="1">
      <alignment horizontal="center" vertical="center" wrapText="1"/>
    </xf>
    <xf numFmtId="49" fontId="33" fillId="5" borderId="14" xfId="1" applyNumberFormat="1" applyFont="1" applyFill="1" applyBorder="1" applyAlignment="1">
      <alignment horizontal="center" vertical="center" wrapText="1"/>
    </xf>
    <xf numFmtId="1" fontId="132" fillId="0" borderId="70" xfId="1" applyNumberFormat="1" applyFont="1" applyBorder="1" applyAlignment="1">
      <alignment horizontal="right"/>
    </xf>
    <xf numFmtId="1" fontId="132" fillId="0" borderId="71" xfId="1" applyNumberFormat="1" applyFont="1" applyBorder="1" applyAlignment="1">
      <alignment horizontal="right"/>
    </xf>
    <xf numFmtId="1" fontId="131" fillId="0" borderId="76" xfId="1" applyNumberFormat="1" applyFont="1" applyBorder="1" applyAlignment="1">
      <alignment horizontal="right"/>
    </xf>
    <xf numFmtId="1" fontId="131" fillId="0" borderId="77" xfId="1" applyNumberFormat="1" applyFont="1" applyBorder="1" applyAlignment="1">
      <alignment horizontal="right"/>
    </xf>
    <xf numFmtId="1" fontId="131" fillId="0" borderId="75" xfId="1" applyNumberFormat="1" applyFont="1" applyBorder="1" applyAlignment="1">
      <alignment horizontal="left"/>
    </xf>
    <xf numFmtId="1" fontId="131" fillId="0" borderId="76" xfId="1" applyNumberFormat="1" applyFont="1" applyBorder="1" applyAlignment="1">
      <alignment horizontal="left"/>
    </xf>
    <xf numFmtId="0" fontId="133" fillId="10" borderId="9" xfId="0" applyFont="1" applyFill="1" applyBorder="1" applyAlignment="1">
      <alignment horizontal="center"/>
    </xf>
    <xf numFmtId="0" fontId="133" fillId="10" borderId="1" xfId="0" applyFont="1" applyFill="1" applyBorder="1" applyAlignment="1">
      <alignment horizontal="center"/>
    </xf>
    <xf numFmtId="0" fontId="133" fillId="10" borderId="6" xfId="0" applyFont="1" applyFill="1" applyBorder="1" applyAlignment="1">
      <alignment horizontal="center"/>
    </xf>
    <xf numFmtId="0" fontId="133" fillId="10" borderId="2" xfId="0" applyFont="1" applyFill="1" applyBorder="1" applyAlignment="1">
      <alignment horizontal="center"/>
    </xf>
    <xf numFmtId="1" fontId="135" fillId="0" borderId="90" xfId="1" applyNumberFormat="1" applyFont="1" applyBorder="1" applyAlignment="1">
      <alignment horizontal="right"/>
    </xf>
    <xf numFmtId="1" fontId="135" fillId="0" borderId="91" xfId="1" applyNumberFormat="1" applyFont="1" applyBorder="1" applyAlignment="1">
      <alignment horizontal="right"/>
    </xf>
    <xf numFmtId="1" fontId="135" fillId="0" borderId="89" xfId="1" applyNumberFormat="1" applyFont="1" applyBorder="1" applyAlignment="1">
      <alignment horizontal="left"/>
    </xf>
    <xf numFmtId="1" fontId="135" fillId="0" borderId="90" xfId="1" applyNumberFormat="1" applyFont="1" applyBorder="1" applyAlignment="1">
      <alignment horizontal="left"/>
    </xf>
  </cellXfs>
  <cellStyles count="3">
    <cellStyle name="Normal 2" xfId="2" xr:uid="{00000000-0005-0000-0000-000001000000}"/>
    <cellStyle name="Normal 3" xfId="1" xr:uid="{00000000-0005-0000-0000-000002000000}"/>
    <cellStyle name="Standard" xfId="0" builtinId="0"/>
  </cellStyles>
  <dxfs count="621"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indexed="9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indexed="9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ndense val="0"/>
        <extend val="0"/>
        <color indexed="9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b/>
        <i val="0"/>
        <color rgb="FFFF0000"/>
      </font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b/>
        <i val="0"/>
        <color rgb="FFFF0000"/>
      </font>
      <fill>
        <patternFill patternType="none">
          <bgColor auto="1"/>
        </patternFill>
      </fill>
    </dxf>
    <dxf>
      <font>
        <condense val="0"/>
        <extend val="0"/>
        <color indexed="9"/>
      </font>
    </dxf>
    <dxf>
      <font>
        <color rgb="FF00B0F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condense val="0"/>
        <extend val="0"/>
        <color indexed="9"/>
      </font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ont>
        <condense val="0"/>
        <extend val="0"/>
        <color auto="1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lor rgb="FFC00000"/>
      </font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rgb="FF00B050"/>
      </font>
      <fill>
        <patternFill patternType="none">
          <bgColor auto="1"/>
        </patternFill>
      </fill>
    </dxf>
    <dxf>
      <font>
        <color rgb="FFFF0000"/>
      </font>
      <fill>
        <patternFill patternType="none">
          <bgColor auto="1"/>
        </patternFill>
      </fill>
    </dxf>
    <dxf>
      <font>
        <color theme="0" tint="-4.9989318521683403E-2"/>
      </font>
    </dxf>
    <dxf>
      <font>
        <b/>
        <i val="0"/>
        <color rgb="FF00B0F0"/>
      </font>
      <fill>
        <patternFill patternType="none">
          <bgColor auto="1"/>
        </patternFill>
      </fill>
    </dxf>
    <dxf>
      <font>
        <color theme="0" tint="-4.9989318521683403E-2"/>
      </font>
      <fill>
        <patternFill>
          <bgColor theme="0" tint="-4.9989318521683403E-2"/>
        </patternFill>
      </fill>
    </dxf>
    <dxf>
      <fill>
        <patternFill>
          <bgColor rgb="FFFF00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FF00"/>
        </patternFill>
      </fill>
    </dxf>
    <dxf>
      <fill>
        <patternFill>
          <bgColor rgb="FFFF0000"/>
        </patternFill>
      </fill>
    </dxf>
    <dxf>
      <font>
        <b/>
        <i val="0"/>
        <color rgb="FFC00000"/>
      </font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b/>
        <i val="0"/>
        <condense val="0"/>
        <extend val="0"/>
        <color auto="1"/>
      </font>
      <fill>
        <patternFill>
          <bgColor indexed="10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  <dxf>
      <font>
        <color theme="0" tint="-0.499984740745262"/>
      </font>
      <fill>
        <patternFill>
          <bgColor theme="0" tint="-0.34998626667073579"/>
        </patternFill>
      </fill>
    </dxf>
  </dxfs>
  <tableStyles count="0" defaultTableStyle="TableStyleMedium9" defaultPivotStyle="PivotStyleLight16"/>
  <colors>
    <mruColors>
      <color rgb="FF00FFFF"/>
      <color rgb="FF99CCFF"/>
      <color rgb="FFFF3300"/>
      <color rgb="FFFFFFCC"/>
      <color rgb="FF66CCFF"/>
      <color rgb="FF00FF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g"/><Relationship Id="rId2" Type="http://schemas.openxmlformats.org/officeDocument/2006/relationships/image" Target="../media/image5.jpg"/><Relationship Id="rId1" Type="http://schemas.openxmlformats.org/officeDocument/2006/relationships/image" Target="../media/image4.jp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jp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jp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jp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jp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jp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57</xdr:col>
      <xdr:colOff>2832387</xdr:colOff>
      <xdr:row>123</xdr:row>
      <xdr:rowOff>51956</xdr:rowOff>
    </xdr:from>
    <xdr:to>
      <xdr:col>95</xdr:col>
      <xdr:colOff>116031</xdr:colOff>
      <xdr:row>123</xdr:row>
      <xdr:rowOff>1762452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75751" y="7602683"/>
          <a:ext cx="18134736" cy="1714499"/>
        </a:xfrm>
        <a:prstGeom prst="rect">
          <a:avLst/>
        </a:prstGeom>
      </xdr:spPr>
    </xdr:pic>
    <xdr:clientData/>
  </xdr:twoCellAnchor>
  <xdr:twoCellAnchor editAs="oneCell">
    <xdr:from>
      <xdr:col>57</xdr:col>
      <xdr:colOff>2837585</xdr:colOff>
      <xdr:row>130</xdr:row>
      <xdr:rowOff>103909</xdr:rowOff>
    </xdr:from>
    <xdr:to>
      <xdr:col>95</xdr:col>
      <xdr:colOff>98716</xdr:colOff>
      <xdr:row>133</xdr:row>
      <xdr:rowOff>206262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00494" y="10390909"/>
          <a:ext cx="18112222" cy="1868807"/>
        </a:xfrm>
        <a:prstGeom prst="rect">
          <a:avLst/>
        </a:prstGeom>
      </xdr:spPr>
    </xdr:pic>
    <xdr:clientData/>
  </xdr:twoCellAnchor>
  <xdr:twoCellAnchor>
    <xdr:from>
      <xdr:col>6</xdr:col>
      <xdr:colOff>1673555</xdr:colOff>
      <xdr:row>133</xdr:row>
      <xdr:rowOff>266139</xdr:rowOff>
    </xdr:from>
    <xdr:to>
      <xdr:col>9</xdr:col>
      <xdr:colOff>259016</xdr:colOff>
      <xdr:row>167</xdr:row>
      <xdr:rowOff>86845</xdr:rowOff>
    </xdr:to>
    <xdr:sp macro="" textlink="">
      <xdr:nvSpPr>
        <xdr:cNvPr id="7" name="Oval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11225769" y="30678103"/>
          <a:ext cx="1755926" cy="9889992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1159248</xdr:colOff>
      <xdr:row>9</xdr:row>
      <xdr:rowOff>102294</xdr:rowOff>
    </xdr:from>
    <xdr:to>
      <xdr:col>4</xdr:col>
      <xdr:colOff>1125631</xdr:colOff>
      <xdr:row>12</xdr:row>
      <xdr:rowOff>275824</xdr:rowOff>
    </xdr:to>
    <xdr:sp macro="" textlink="">
      <xdr:nvSpPr>
        <xdr:cNvPr id="8" name="Oval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>
        <a:xfrm>
          <a:off x="1360954" y="4181235"/>
          <a:ext cx="5580530" cy="1708736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14</xdr:col>
      <xdr:colOff>377078</xdr:colOff>
      <xdr:row>154</xdr:row>
      <xdr:rowOff>152399</xdr:rowOff>
    </xdr:from>
    <xdr:to>
      <xdr:col>16</xdr:col>
      <xdr:colOff>201707</xdr:colOff>
      <xdr:row>166</xdr:row>
      <xdr:rowOff>44822</xdr:rowOff>
    </xdr:to>
    <xdr:sp macro="" textlink="">
      <xdr:nvSpPr>
        <xdr:cNvPr id="9" name="Oval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>
        <a:xfrm>
          <a:off x="15034372" y="52595928"/>
          <a:ext cx="1225364" cy="3018865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17</xdr:col>
      <xdr:colOff>411255</xdr:colOff>
      <xdr:row>136</xdr:row>
      <xdr:rowOff>262777</xdr:rowOff>
    </xdr:from>
    <xdr:to>
      <xdr:col>19</xdr:col>
      <xdr:colOff>54908</xdr:colOff>
      <xdr:row>138</xdr:row>
      <xdr:rowOff>206749</xdr:rowOff>
    </xdr:to>
    <xdr:sp macro="" textlink="">
      <xdr:nvSpPr>
        <xdr:cNvPr id="10" name="Oval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/>
      </xdr:nvSpPr>
      <xdr:spPr>
        <a:xfrm>
          <a:off x="15841755" y="48582542"/>
          <a:ext cx="921124" cy="750795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24</xdr:col>
      <xdr:colOff>1120</xdr:colOff>
      <xdr:row>134</xdr:row>
      <xdr:rowOff>142875</xdr:rowOff>
    </xdr:from>
    <xdr:to>
      <xdr:col>25</xdr:col>
      <xdr:colOff>171450</xdr:colOff>
      <xdr:row>166</xdr:row>
      <xdr:rowOff>15126</xdr:rowOff>
    </xdr:to>
    <xdr:sp macro="" textlink="">
      <xdr:nvSpPr>
        <xdr:cNvPr id="11" name="Oval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>
        <a:xfrm>
          <a:off x="25001444" y="10026463"/>
          <a:ext cx="1649506" cy="9072281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25</xdr:col>
      <xdr:colOff>60205</xdr:colOff>
      <xdr:row>156</xdr:row>
      <xdr:rowOff>98457</xdr:rowOff>
    </xdr:from>
    <xdr:to>
      <xdr:col>25</xdr:col>
      <xdr:colOff>1385454</xdr:colOff>
      <xdr:row>165</xdr:row>
      <xdr:rowOff>155863</xdr:rowOff>
    </xdr:to>
    <xdr:sp macro="" textlink="">
      <xdr:nvSpPr>
        <xdr:cNvPr id="13" name="Oval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26608978" y="16671957"/>
          <a:ext cx="1325249" cy="2395361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28</xdr:col>
      <xdr:colOff>1156448</xdr:colOff>
      <xdr:row>133</xdr:row>
      <xdr:rowOff>470647</xdr:rowOff>
    </xdr:from>
    <xdr:to>
      <xdr:col>30</xdr:col>
      <xdr:colOff>314326</xdr:colOff>
      <xdr:row>165</xdr:row>
      <xdr:rowOff>19048</xdr:rowOff>
    </xdr:to>
    <xdr:sp macro="" textlink="">
      <xdr:nvSpPr>
        <xdr:cNvPr id="14" name="Oval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>
        <a:xfrm>
          <a:off x="26806713" y="46795765"/>
          <a:ext cx="2116231" cy="9342342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27</xdr:col>
      <xdr:colOff>861732</xdr:colOff>
      <xdr:row>134</xdr:row>
      <xdr:rowOff>38661</xdr:rowOff>
    </xdr:from>
    <xdr:to>
      <xdr:col>29</xdr:col>
      <xdr:colOff>333935</xdr:colOff>
      <xdr:row>165</xdr:row>
      <xdr:rowOff>168647</xdr:rowOff>
    </xdr:to>
    <xdr:sp macro="" textlink="">
      <xdr:nvSpPr>
        <xdr:cNvPr id="15" name="Oval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>
        <a:xfrm>
          <a:off x="25032820" y="46946485"/>
          <a:ext cx="2430556" cy="9341221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25</xdr:col>
      <xdr:colOff>600075</xdr:colOff>
      <xdr:row>134</xdr:row>
      <xdr:rowOff>112619</xdr:rowOff>
    </xdr:from>
    <xdr:to>
      <xdr:col>27</xdr:col>
      <xdr:colOff>710453</xdr:colOff>
      <xdr:row>165</xdr:row>
      <xdr:rowOff>242045</xdr:rowOff>
    </xdr:to>
    <xdr:sp macro="" textlink="">
      <xdr:nvSpPr>
        <xdr:cNvPr id="16" name="Oval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/>
      </xdr:nvSpPr>
      <xdr:spPr>
        <a:xfrm>
          <a:off x="28244987" y="30704678"/>
          <a:ext cx="3068731" cy="907172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30</xdr:col>
      <xdr:colOff>689722</xdr:colOff>
      <xdr:row>133</xdr:row>
      <xdr:rowOff>400050</xdr:rowOff>
    </xdr:from>
    <xdr:to>
      <xdr:col>32</xdr:col>
      <xdr:colOff>371475</xdr:colOff>
      <xdr:row>166</xdr:row>
      <xdr:rowOff>246530</xdr:rowOff>
    </xdr:to>
    <xdr:sp macro="" textlink="">
      <xdr:nvSpPr>
        <xdr:cNvPr id="17" name="Oval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/>
      </xdr:nvSpPr>
      <xdr:spPr>
        <a:xfrm>
          <a:off x="35730516" y="30409403"/>
          <a:ext cx="2640106" cy="9629215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32</xdr:col>
      <xdr:colOff>175373</xdr:colOff>
      <xdr:row>135</xdr:row>
      <xdr:rowOff>169768</xdr:rowOff>
    </xdr:from>
    <xdr:to>
      <xdr:col>32</xdr:col>
      <xdr:colOff>1731871</xdr:colOff>
      <xdr:row>136</xdr:row>
      <xdr:rowOff>28015</xdr:rowOff>
    </xdr:to>
    <xdr:sp macro="" textlink="">
      <xdr:nvSpPr>
        <xdr:cNvPr id="18" name="Oval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/>
      </xdr:nvSpPr>
      <xdr:spPr>
        <a:xfrm>
          <a:off x="23696520" y="47682709"/>
          <a:ext cx="1556498" cy="665071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1327336</xdr:colOff>
      <xdr:row>13</xdr:row>
      <xdr:rowOff>17370</xdr:rowOff>
    </xdr:from>
    <xdr:to>
      <xdr:col>4</xdr:col>
      <xdr:colOff>1293719</xdr:colOff>
      <xdr:row>18</xdr:row>
      <xdr:rowOff>20170</xdr:rowOff>
    </xdr:to>
    <xdr:sp macro="" textlink="">
      <xdr:nvSpPr>
        <xdr:cNvPr id="19" name="Oval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/>
      </xdr:nvSpPr>
      <xdr:spPr>
        <a:xfrm>
          <a:off x="1527361" y="5618070"/>
          <a:ext cx="5586133" cy="139345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32</xdr:col>
      <xdr:colOff>205628</xdr:colOff>
      <xdr:row>133</xdr:row>
      <xdr:rowOff>515471</xdr:rowOff>
    </xdr:from>
    <xdr:to>
      <xdr:col>32</xdr:col>
      <xdr:colOff>1913965</xdr:colOff>
      <xdr:row>165</xdr:row>
      <xdr:rowOff>63312</xdr:rowOff>
    </xdr:to>
    <xdr:sp macro="" textlink="">
      <xdr:nvSpPr>
        <xdr:cNvPr id="20" name="Oval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>
          <a:off x="23726775" y="46840589"/>
          <a:ext cx="1708337" cy="9341782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22</xdr:col>
      <xdr:colOff>424754</xdr:colOff>
      <xdr:row>319</xdr:row>
      <xdr:rowOff>165998</xdr:rowOff>
    </xdr:from>
    <xdr:to>
      <xdr:col>23</xdr:col>
      <xdr:colOff>808760</xdr:colOff>
      <xdr:row>334</xdr:row>
      <xdr:rowOff>58421</xdr:rowOff>
    </xdr:to>
    <xdr:sp macro="" textlink="">
      <xdr:nvSpPr>
        <xdr:cNvPr id="21" name="Oval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22730572" y="52795953"/>
          <a:ext cx="1492370" cy="3009695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25</xdr:col>
      <xdr:colOff>247242</xdr:colOff>
      <xdr:row>154</xdr:row>
      <xdr:rowOff>94993</xdr:rowOff>
    </xdr:from>
    <xdr:to>
      <xdr:col>25</xdr:col>
      <xdr:colOff>1298863</xdr:colOff>
      <xdr:row>156</xdr:row>
      <xdr:rowOff>225137</xdr:rowOff>
    </xdr:to>
    <xdr:sp macro="" textlink="">
      <xdr:nvSpPr>
        <xdr:cNvPr id="22" name="Oval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26796015" y="16148948"/>
          <a:ext cx="1051621" cy="649689"/>
        </a:xfrm>
        <a:prstGeom prst="ellipse">
          <a:avLst/>
        </a:prstGeom>
        <a:noFill/>
        <a:ln w="57150"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41</xdr:col>
      <xdr:colOff>533294</xdr:colOff>
      <xdr:row>78</xdr:row>
      <xdr:rowOff>329045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585262" cy="497031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56</xdr:col>
      <xdr:colOff>2870921</xdr:colOff>
      <xdr:row>123</xdr:row>
      <xdr:rowOff>82260</xdr:rowOff>
    </xdr:from>
    <xdr:to>
      <xdr:col>94</xdr:col>
      <xdr:colOff>187036</xdr:colOff>
      <xdr:row>124</xdr:row>
      <xdr:rowOff>18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61194" y="7234669"/>
          <a:ext cx="18184524" cy="1875144"/>
        </a:xfrm>
        <a:prstGeom prst="rect">
          <a:avLst/>
        </a:prstGeom>
      </xdr:spPr>
    </xdr:pic>
    <xdr:clientData/>
  </xdr:twoCellAnchor>
  <xdr:twoCellAnchor editAs="oneCell">
    <xdr:from>
      <xdr:col>56</xdr:col>
      <xdr:colOff>2911495</xdr:colOff>
      <xdr:row>126</xdr:row>
      <xdr:rowOff>91542</xdr:rowOff>
    </xdr:from>
    <xdr:to>
      <xdr:col>94</xdr:col>
      <xdr:colOff>145350</xdr:colOff>
      <xdr:row>132</xdr:row>
      <xdr:rowOff>428005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01768" y="10413178"/>
          <a:ext cx="18102264" cy="191736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207818</xdr:rowOff>
    </xdr:from>
    <xdr:to>
      <xdr:col>40</xdr:col>
      <xdr:colOff>471382</xdr:colOff>
      <xdr:row>79</xdr:row>
      <xdr:rowOff>43296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7818"/>
          <a:ext cx="10775700" cy="501361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68</xdr:col>
      <xdr:colOff>17319</xdr:colOff>
      <xdr:row>99</xdr:row>
      <xdr:rowOff>64080</xdr:rowOff>
    </xdr:from>
    <xdr:to>
      <xdr:col>133</xdr:col>
      <xdr:colOff>204355</xdr:colOff>
      <xdr:row>99</xdr:row>
      <xdr:rowOff>1900339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76819" y="5692489"/>
          <a:ext cx="18128673" cy="1836259"/>
        </a:xfrm>
        <a:prstGeom prst="rect">
          <a:avLst/>
        </a:prstGeom>
      </xdr:spPr>
    </xdr:pic>
    <xdr:clientData/>
  </xdr:twoCellAnchor>
  <xdr:twoCellAnchor editAs="oneCell">
    <xdr:from>
      <xdr:col>67</xdr:col>
      <xdr:colOff>3687041</xdr:colOff>
      <xdr:row>140</xdr:row>
      <xdr:rowOff>69273</xdr:rowOff>
    </xdr:from>
    <xdr:to>
      <xdr:col>133</xdr:col>
      <xdr:colOff>131618</xdr:colOff>
      <xdr:row>142</xdr:row>
      <xdr:rowOff>552624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23132" y="8918864"/>
          <a:ext cx="18109623" cy="1834169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5" name="Oval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/>
      </xdr:nvSpPr>
      <xdr:spPr>
        <a:xfrm>
          <a:off x="14838218" y="21658117"/>
          <a:ext cx="1390650" cy="2699039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6" name="Oval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/>
      </xdr:nvSpPr>
      <xdr:spPr>
        <a:xfrm>
          <a:off x="12172950" y="25358147"/>
          <a:ext cx="1381990" cy="2710296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1755321</xdr:colOff>
      <xdr:row>8</xdr:row>
      <xdr:rowOff>136071</xdr:rowOff>
    </xdr:from>
    <xdr:to>
      <xdr:col>3</xdr:col>
      <xdr:colOff>544286</xdr:colOff>
      <xdr:row>11</xdr:row>
      <xdr:rowOff>149679</xdr:rowOff>
    </xdr:to>
    <xdr:sp macro="" textlink="">
      <xdr:nvSpPr>
        <xdr:cNvPr id="8" name="Oval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/>
      </xdr:nvSpPr>
      <xdr:spPr>
        <a:xfrm>
          <a:off x="2149928" y="3333750"/>
          <a:ext cx="2041072" cy="816429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1730828</xdr:colOff>
      <xdr:row>12</xdr:row>
      <xdr:rowOff>125185</xdr:rowOff>
    </xdr:from>
    <xdr:to>
      <xdr:col>3</xdr:col>
      <xdr:colOff>519793</xdr:colOff>
      <xdr:row>15</xdr:row>
      <xdr:rowOff>138793</xdr:rowOff>
    </xdr:to>
    <xdr:sp macro="" textlink="">
      <xdr:nvSpPr>
        <xdr:cNvPr id="9" name="Oval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/>
      </xdr:nvSpPr>
      <xdr:spPr>
        <a:xfrm>
          <a:off x="2125435" y="4397828"/>
          <a:ext cx="2041072" cy="816429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40</xdr:col>
      <xdr:colOff>2476500</xdr:colOff>
      <xdr:row>145</xdr:row>
      <xdr:rowOff>571500</xdr:rowOff>
    </xdr:from>
    <xdr:to>
      <xdr:col>42</xdr:col>
      <xdr:colOff>108857</xdr:colOff>
      <xdr:row>164</xdr:row>
      <xdr:rowOff>122464</xdr:rowOff>
    </xdr:to>
    <xdr:sp macro="" textlink="">
      <xdr:nvSpPr>
        <xdr:cNvPr id="10" name="Oval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/>
      </xdr:nvSpPr>
      <xdr:spPr>
        <a:xfrm>
          <a:off x="58388250" y="13035643"/>
          <a:ext cx="2041071" cy="5102678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17</xdr:col>
      <xdr:colOff>560295</xdr:colOff>
      <xdr:row>170</xdr:row>
      <xdr:rowOff>100852</xdr:rowOff>
    </xdr:from>
    <xdr:to>
      <xdr:col>20</xdr:col>
      <xdr:colOff>762001</xdr:colOff>
      <xdr:row>173</xdr:row>
      <xdr:rowOff>459440</xdr:rowOff>
    </xdr:to>
    <xdr:sp macro="" textlink="">
      <xdr:nvSpPr>
        <xdr:cNvPr id="13" name="Oval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/>
      </xdr:nvSpPr>
      <xdr:spPr>
        <a:xfrm>
          <a:off x="22557442" y="22221264"/>
          <a:ext cx="3462618" cy="1602441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16</xdr:row>
      <xdr:rowOff>51954</xdr:rowOff>
    </xdr:from>
    <xdr:to>
      <xdr:col>51</xdr:col>
      <xdr:colOff>162130</xdr:colOff>
      <xdr:row>99</xdr:row>
      <xdr:rowOff>398318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182590"/>
          <a:ext cx="10622312" cy="632113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68</xdr:col>
      <xdr:colOff>3772765</xdr:colOff>
      <xdr:row>98</xdr:row>
      <xdr:rowOff>48488</xdr:rowOff>
    </xdr:from>
    <xdr:to>
      <xdr:col>134</xdr:col>
      <xdr:colOff>138545</xdr:colOff>
      <xdr:row>98</xdr:row>
      <xdr:rowOff>1881850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64720" y="6854533"/>
          <a:ext cx="18082779" cy="1833361"/>
        </a:xfrm>
        <a:prstGeom prst="rect">
          <a:avLst/>
        </a:prstGeom>
      </xdr:spPr>
    </xdr:pic>
    <xdr:clientData/>
  </xdr:twoCellAnchor>
  <xdr:twoCellAnchor editAs="oneCell">
    <xdr:from>
      <xdr:col>68</xdr:col>
      <xdr:colOff>3722256</xdr:colOff>
      <xdr:row>143</xdr:row>
      <xdr:rowOff>69273</xdr:rowOff>
    </xdr:from>
    <xdr:to>
      <xdr:col>134</xdr:col>
      <xdr:colOff>101024</xdr:colOff>
      <xdr:row>146</xdr:row>
      <xdr:rowOff>150952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14211" y="10356273"/>
          <a:ext cx="18095767" cy="1848134"/>
        </a:xfrm>
        <a:prstGeom prst="rect">
          <a:avLst/>
        </a:prstGeom>
      </xdr:spPr>
    </xdr:pic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7" name="Oval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SpPr/>
      </xdr:nvSpPr>
      <xdr:spPr>
        <a:xfrm>
          <a:off x="12172950" y="25358147"/>
          <a:ext cx="1381990" cy="2710296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53</xdr:col>
      <xdr:colOff>779318</xdr:colOff>
      <xdr:row>98</xdr:row>
      <xdr:rowOff>796709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2036136" cy="734298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67</xdr:col>
      <xdr:colOff>2880016</xdr:colOff>
      <xdr:row>89</xdr:row>
      <xdr:rowOff>76201</xdr:rowOff>
    </xdr:from>
    <xdr:to>
      <xdr:col>110</xdr:col>
      <xdr:colOff>103909</xdr:colOff>
      <xdr:row>89</xdr:row>
      <xdr:rowOff>1761427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491841" y="29213176"/>
          <a:ext cx="16150067" cy="1680279"/>
        </a:xfrm>
        <a:prstGeom prst="rect">
          <a:avLst/>
        </a:prstGeom>
      </xdr:spPr>
    </xdr:pic>
    <xdr:clientData/>
  </xdr:twoCellAnchor>
  <xdr:twoCellAnchor editAs="oneCell">
    <xdr:from>
      <xdr:col>67</xdr:col>
      <xdr:colOff>2867027</xdr:colOff>
      <xdr:row>130</xdr:row>
      <xdr:rowOff>45028</xdr:rowOff>
    </xdr:from>
    <xdr:to>
      <xdr:col>110</xdr:col>
      <xdr:colOff>123822</xdr:colOff>
      <xdr:row>134</xdr:row>
      <xdr:rowOff>432954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478852" y="46003153"/>
          <a:ext cx="16182969" cy="1759528"/>
        </a:xfrm>
        <a:prstGeom prst="rect">
          <a:avLst/>
        </a:prstGeom>
      </xdr:spPr>
    </xdr:pic>
    <xdr:clientData/>
  </xdr:twoCellAnchor>
  <xdr:twoCellAnchor>
    <xdr:from>
      <xdr:col>16</xdr:col>
      <xdr:colOff>826892</xdr:colOff>
      <xdr:row>137</xdr:row>
      <xdr:rowOff>173182</xdr:rowOff>
    </xdr:from>
    <xdr:to>
      <xdr:col>18</xdr:col>
      <xdr:colOff>470545</xdr:colOff>
      <xdr:row>139</xdr:row>
      <xdr:rowOff>154795</xdr:rowOff>
    </xdr:to>
    <xdr:sp macro="" textlink="">
      <xdr:nvSpPr>
        <xdr:cNvPr id="5" name="Oval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/>
      </xdr:nvSpPr>
      <xdr:spPr>
        <a:xfrm>
          <a:off x="23531028" y="13456227"/>
          <a:ext cx="2068199" cy="639704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42</xdr:row>
      <xdr:rowOff>190500</xdr:rowOff>
    </xdr:from>
    <xdr:to>
      <xdr:col>53</xdr:col>
      <xdr:colOff>679739</xdr:colOff>
      <xdr:row>89</xdr:row>
      <xdr:rowOff>1559682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421591"/>
          <a:ext cx="12023148" cy="812327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68</xdr:col>
      <xdr:colOff>39832</xdr:colOff>
      <xdr:row>125</xdr:row>
      <xdr:rowOff>138546</xdr:rowOff>
    </xdr:from>
    <xdr:to>
      <xdr:col>122</xdr:col>
      <xdr:colOff>160070</xdr:colOff>
      <xdr:row>129</xdr:row>
      <xdr:rowOff>484909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46241" y="6840682"/>
          <a:ext cx="16156874" cy="1558636"/>
        </a:xfrm>
        <a:prstGeom prst="rect">
          <a:avLst/>
        </a:prstGeom>
      </xdr:spPr>
    </xdr:pic>
    <xdr:clientData/>
  </xdr:twoCellAnchor>
  <xdr:twoCellAnchor editAs="oneCell">
    <xdr:from>
      <xdr:col>67</xdr:col>
      <xdr:colOff>2884345</xdr:colOff>
      <xdr:row>132</xdr:row>
      <xdr:rowOff>112568</xdr:rowOff>
    </xdr:from>
    <xdr:to>
      <xdr:col>122</xdr:col>
      <xdr:colOff>158342</xdr:colOff>
      <xdr:row>135</xdr:row>
      <xdr:rowOff>111900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989220" y="46156418"/>
          <a:ext cx="16076345" cy="1647159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5" name="Oval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/>
      </xdr:nvSpPr>
      <xdr:spPr>
        <a:xfrm>
          <a:off x="16095518" y="26658742"/>
          <a:ext cx="1200150" cy="13138439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6" name="Oval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/>
      </xdr:nvSpPr>
      <xdr:spPr>
        <a:xfrm>
          <a:off x="14001750" y="40798172"/>
          <a:ext cx="934315" cy="3472296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53</xdr:col>
      <xdr:colOff>403865</xdr:colOff>
      <xdr:row>125</xdr:row>
      <xdr:rowOff>571500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002592" cy="768927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67</xdr:col>
      <xdr:colOff>3015468</xdr:colOff>
      <xdr:row>125</xdr:row>
      <xdr:rowOff>40822</xdr:rowOff>
    </xdr:from>
    <xdr:to>
      <xdr:col>119</xdr:col>
      <xdr:colOff>163167</xdr:colOff>
      <xdr:row>125</xdr:row>
      <xdr:rowOff>1912416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25682" y="6218465"/>
          <a:ext cx="17830553" cy="1871594"/>
        </a:xfrm>
        <a:prstGeom prst="rect">
          <a:avLst/>
        </a:prstGeom>
      </xdr:spPr>
    </xdr:pic>
    <xdr:clientData/>
  </xdr:twoCellAnchor>
  <xdr:twoCellAnchor editAs="oneCell">
    <xdr:from>
      <xdr:col>67</xdr:col>
      <xdr:colOff>3043302</xdr:colOff>
      <xdr:row>128</xdr:row>
      <xdr:rowOff>97228</xdr:rowOff>
    </xdr:from>
    <xdr:to>
      <xdr:col>119</xdr:col>
      <xdr:colOff>130385</xdr:colOff>
      <xdr:row>130</xdr:row>
      <xdr:rowOff>574116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53516" y="9159585"/>
          <a:ext cx="17769937" cy="1783175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7" name="Oval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/>
      </xdr:nvSpPr>
      <xdr:spPr>
        <a:xfrm>
          <a:off x="14838218" y="21753367"/>
          <a:ext cx="1390650" cy="2699039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8" name="Oval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/>
      </xdr:nvSpPr>
      <xdr:spPr>
        <a:xfrm>
          <a:off x="12172950" y="25453397"/>
          <a:ext cx="1381990" cy="2710296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51</xdr:row>
      <xdr:rowOff>197427</xdr:rowOff>
    </xdr:from>
    <xdr:to>
      <xdr:col>52</xdr:col>
      <xdr:colOff>653143</xdr:colOff>
      <xdr:row>125</xdr:row>
      <xdr:rowOff>916869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9209"/>
          <a:ext cx="11556670" cy="6773878"/>
        </a:xfrm>
        <a:prstGeom prst="rect">
          <a:avLst/>
        </a:prstGeom>
      </xdr:spPr>
    </xdr:pic>
    <xdr:clientData/>
  </xdr:twoCellAnchor>
  <xdr:twoCellAnchor>
    <xdr:from>
      <xdr:col>49</xdr:col>
      <xdr:colOff>598714</xdr:colOff>
      <xdr:row>152</xdr:row>
      <xdr:rowOff>163285</xdr:rowOff>
    </xdr:from>
    <xdr:to>
      <xdr:col>50</xdr:col>
      <xdr:colOff>308016</xdr:colOff>
      <xdr:row>157</xdr:row>
      <xdr:rowOff>327809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CxnSpPr/>
      </xdr:nvCxnSpPr>
      <xdr:spPr>
        <a:xfrm>
          <a:off x="33909000" y="17866178"/>
          <a:ext cx="1451016" cy="2885952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50</xdr:col>
      <xdr:colOff>775607</xdr:colOff>
      <xdr:row>156</xdr:row>
      <xdr:rowOff>81643</xdr:rowOff>
    </xdr:from>
    <xdr:to>
      <xdr:col>50</xdr:col>
      <xdr:colOff>775607</xdr:colOff>
      <xdr:row>156</xdr:row>
      <xdr:rowOff>503465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CxnSpPr/>
      </xdr:nvCxnSpPr>
      <xdr:spPr>
        <a:xfrm>
          <a:off x="35827607" y="19553464"/>
          <a:ext cx="0" cy="421822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48</xdr:col>
      <xdr:colOff>1034143</xdr:colOff>
      <xdr:row>152</xdr:row>
      <xdr:rowOff>244928</xdr:rowOff>
    </xdr:from>
    <xdr:to>
      <xdr:col>49</xdr:col>
      <xdr:colOff>489857</xdr:colOff>
      <xdr:row>158</xdr:row>
      <xdr:rowOff>122465</xdr:rowOff>
    </xdr:to>
    <xdr:cxnSp macro="">
      <xdr:nvCxnSpPr>
        <xdr:cNvPr id="14" name="Straight Arrow Connector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CxnSpPr/>
      </xdr:nvCxnSpPr>
      <xdr:spPr>
        <a:xfrm flipV="1">
          <a:off x="33024536" y="17947821"/>
          <a:ext cx="775607" cy="2966358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67</xdr:col>
      <xdr:colOff>2922445</xdr:colOff>
      <xdr:row>82</xdr:row>
      <xdr:rowOff>69272</xdr:rowOff>
    </xdr:from>
    <xdr:to>
      <xdr:col>119</xdr:col>
      <xdr:colOff>96982</xdr:colOff>
      <xdr:row>84</xdr:row>
      <xdr:rowOff>896254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08809" y="12486408"/>
          <a:ext cx="18094900" cy="1866072"/>
        </a:xfrm>
        <a:prstGeom prst="rect">
          <a:avLst/>
        </a:prstGeom>
      </xdr:spPr>
    </xdr:pic>
    <xdr:clientData/>
  </xdr:twoCellAnchor>
  <xdr:twoCellAnchor editAs="oneCell">
    <xdr:from>
      <xdr:col>67</xdr:col>
      <xdr:colOff>2933702</xdr:colOff>
      <xdr:row>141</xdr:row>
      <xdr:rowOff>95249</xdr:rowOff>
    </xdr:from>
    <xdr:to>
      <xdr:col>119</xdr:col>
      <xdr:colOff>180108</xdr:colOff>
      <xdr:row>144</xdr:row>
      <xdr:rowOff>121224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20066" y="15664294"/>
          <a:ext cx="18166769" cy="1792430"/>
        </a:xfrm>
        <a:prstGeom prst="rect">
          <a:avLst/>
        </a:prstGeom>
      </xdr:spPr>
    </xdr:pic>
    <xdr:clientData/>
  </xdr:twoCellAnchor>
  <xdr:twoCellAnchor>
    <xdr:from>
      <xdr:col>8</xdr:col>
      <xdr:colOff>1160318</xdr:colOff>
      <xdr:row>82</xdr:row>
      <xdr:rowOff>207817</xdr:rowOff>
    </xdr:from>
    <xdr:to>
      <xdr:col>10</xdr:col>
      <xdr:colOff>17318</xdr:colOff>
      <xdr:row>123</xdr:row>
      <xdr:rowOff>363681</xdr:rowOff>
    </xdr:to>
    <xdr:sp macro="" textlink="">
      <xdr:nvSpPr>
        <xdr:cNvPr id="7" name="Oval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/>
      </xdr:nvSpPr>
      <xdr:spPr>
        <a:xfrm>
          <a:off x="14838218" y="21753367"/>
          <a:ext cx="1390650" cy="2699039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2628900</xdr:colOff>
      <xdr:row>123</xdr:row>
      <xdr:rowOff>1364672</xdr:rowOff>
    </xdr:from>
    <xdr:to>
      <xdr:col>7</xdr:col>
      <xdr:colOff>1381990</xdr:colOff>
      <xdr:row>128</xdr:row>
      <xdr:rowOff>169718</xdr:rowOff>
    </xdr:to>
    <xdr:sp macro="" textlink="">
      <xdr:nvSpPr>
        <xdr:cNvPr id="8" name="Oval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/>
      </xdr:nvSpPr>
      <xdr:spPr>
        <a:xfrm>
          <a:off x="12172950" y="25453397"/>
          <a:ext cx="1381990" cy="2710296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51</xdr:col>
      <xdr:colOff>1051461</xdr:colOff>
      <xdr:row>83</xdr:row>
      <xdr:rowOff>407512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33364" cy="6780603"/>
        </a:xfrm>
        <a:prstGeom prst="rect">
          <a:avLst/>
        </a:prstGeom>
      </xdr:spPr>
    </xdr:pic>
    <xdr:clientData/>
  </xdr:twoCellAnchor>
  <xdr:twoCellAnchor>
    <xdr:from>
      <xdr:col>49</xdr:col>
      <xdr:colOff>680357</xdr:colOff>
      <xdr:row>166</xdr:row>
      <xdr:rowOff>163286</xdr:rowOff>
    </xdr:from>
    <xdr:to>
      <xdr:col>50</xdr:col>
      <xdr:colOff>421821</xdr:colOff>
      <xdr:row>172</xdr:row>
      <xdr:rowOff>108857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CxnSpPr/>
      </xdr:nvCxnSpPr>
      <xdr:spPr>
        <a:xfrm>
          <a:off x="43338750" y="17539607"/>
          <a:ext cx="1455964" cy="2911929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48</xdr:col>
      <xdr:colOff>1129393</xdr:colOff>
      <xdr:row>166</xdr:row>
      <xdr:rowOff>163287</xdr:rowOff>
    </xdr:from>
    <xdr:to>
      <xdr:col>49</xdr:col>
      <xdr:colOff>517071</xdr:colOff>
      <xdr:row>172</xdr:row>
      <xdr:rowOff>163287</xdr:rowOff>
    </xdr:to>
    <xdr:cxnSp macro="">
      <xdr:nvCxnSpPr>
        <xdr:cNvPr id="12" name="Straight Arrow Connector 11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CxnSpPr/>
      </xdr:nvCxnSpPr>
      <xdr:spPr>
        <a:xfrm flipV="1">
          <a:off x="42399857" y="17539608"/>
          <a:ext cx="775607" cy="2966358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69</xdr:col>
      <xdr:colOff>2961410</xdr:colOff>
      <xdr:row>63</xdr:row>
      <xdr:rowOff>69273</xdr:rowOff>
    </xdr:from>
    <xdr:to>
      <xdr:col>117</xdr:col>
      <xdr:colOff>121224</xdr:colOff>
      <xdr:row>63</xdr:row>
      <xdr:rowOff>1745016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01" y="7654637"/>
          <a:ext cx="16417635" cy="1664537"/>
        </a:xfrm>
        <a:prstGeom prst="rect">
          <a:avLst/>
        </a:prstGeom>
      </xdr:spPr>
    </xdr:pic>
    <xdr:clientData/>
  </xdr:twoCellAnchor>
  <xdr:twoCellAnchor editAs="oneCell">
    <xdr:from>
      <xdr:col>69</xdr:col>
      <xdr:colOff>2854040</xdr:colOff>
      <xdr:row>104</xdr:row>
      <xdr:rowOff>225136</xdr:rowOff>
    </xdr:from>
    <xdr:to>
      <xdr:col>117</xdr:col>
      <xdr:colOff>69270</xdr:colOff>
      <xdr:row>136</xdr:row>
      <xdr:rowOff>559227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51904" y="25959954"/>
          <a:ext cx="16473051" cy="1640364"/>
        </a:xfrm>
        <a:prstGeom prst="rect">
          <a:avLst/>
        </a:prstGeom>
      </xdr:spPr>
    </xdr:pic>
    <xdr:clientData/>
  </xdr:twoCellAnchor>
  <xdr:twoCellAnchor>
    <xdr:from>
      <xdr:col>6</xdr:col>
      <xdr:colOff>2628900</xdr:colOff>
      <xdr:row>125</xdr:row>
      <xdr:rowOff>1364672</xdr:rowOff>
    </xdr:from>
    <xdr:to>
      <xdr:col>7</xdr:col>
      <xdr:colOff>1381990</xdr:colOff>
      <xdr:row>130</xdr:row>
      <xdr:rowOff>169718</xdr:rowOff>
    </xdr:to>
    <xdr:sp macro="" textlink="">
      <xdr:nvSpPr>
        <xdr:cNvPr id="9" name="Oval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SpPr/>
      </xdr:nvSpPr>
      <xdr:spPr>
        <a:xfrm>
          <a:off x="12172950" y="25453397"/>
          <a:ext cx="1381990" cy="2710296"/>
        </a:xfrm>
        <a:prstGeom prst="ellipse">
          <a:avLst/>
        </a:prstGeom>
        <a:noFill/>
      </xdr:spPr>
      <xdr:style>
        <a:lnRef idx="2">
          <a:schemeClr val="accent5"/>
        </a:lnRef>
        <a:fillRef idx="1">
          <a:schemeClr val="lt1"/>
        </a:fillRef>
        <a:effectRef idx="0">
          <a:schemeClr val="accent5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30</xdr:col>
      <xdr:colOff>263336</xdr:colOff>
      <xdr:row>145</xdr:row>
      <xdr:rowOff>382600</xdr:rowOff>
    </xdr:from>
    <xdr:to>
      <xdr:col>32</xdr:col>
      <xdr:colOff>60830</xdr:colOff>
      <xdr:row>176</xdr:row>
      <xdr:rowOff>196103</xdr:rowOff>
    </xdr:to>
    <xdr:sp macro="" textlink="">
      <xdr:nvSpPr>
        <xdr:cNvPr id="14" name="Oval 13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SpPr/>
      </xdr:nvSpPr>
      <xdr:spPr>
        <a:xfrm>
          <a:off x="23722050" y="49939814"/>
          <a:ext cx="4464744" cy="8481253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31</xdr:col>
      <xdr:colOff>41138</xdr:colOff>
      <xdr:row>181</xdr:row>
      <xdr:rowOff>268941</xdr:rowOff>
    </xdr:from>
    <xdr:to>
      <xdr:col>31</xdr:col>
      <xdr:colOff>2229969</xdr:colOff>
      <xdr:row>194</xdr:row>
      <xdr:rowOff>129988</xdr:rowOff>
    </xdr:to>
    <xdr:sp macro="" textlink="">
      <xdr:nvSpPr>
        <xdr:cNvPr id="16" name="Oval 15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SpPr/>
      </xdr:nvSpPr>
      <xdr:spPr>
        <a:xfrm>
          <a:off x="16468962" y="22747941"/>
          <a:ext cx="2188831" cy="4130488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28</xdr:col>
      <xdr:colOff>48344</xdr:colOff>
      <xdr:row>164</xdr:row>
      <xdr:rowOff>68035</xdr:rowOff>
    </xdr:from>
    <xdr:to>
      <xdr:col>29</xdr:col>
      <xdr:colOff>190501</xdr:colOff>
      <xdr:row>176</xdr:row>
      <xdr:rowOff>117181</xdr:rowOff>
    </xdr:to>
    <xdr:sp macro="" textlink="">
      <xdr:nvSpPr>
        <xdr:cNvPr id="18" name="Oval 17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SpPr/>
      </xdr:nvSpPr>
      <xdr:spPr>
        <a:xfrm>
          <a:off x="21125808" y="55435499"/>
          <a:ext cx="1897479" cy="2906646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52</xdr:col>
      <xdr:colOff>831273</xdr:colOff>
      <xdr:row>62</xdr:row>
      <xdr:rowOff>329047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06848" cy="64423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6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comments" Target="../comments7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4" Type="http://schemas.openxmlformats.org/officeDocument/2006/relationships/comments" Target="../comments8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4" Type="http://schemas.openxmlformats.org/officeDocument/2006/relationships/comments" Target="../comments9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tabColor theme="2" tint="-9.9978637043366805E-2"/>
  </sheetPr>
  <dimension ref="A1:DI205"/>
  <sheetViews>
    <sheetView tabSelected="1" topLeftCell="A49" zoomScale="50" zoomScaleNormal="50" workbookViewId="0">
      <selection activeCell="D138" sqref="D138"/>
    </sheetView>
  </sheetViews>
  <sheetFormatPr baseColWidth="10" defaultColWidth="9.1640625" defaultRowHeight="16" x14ac:dyDescent="0.2"/>
  <cols>
    <col min="1" max="1" width="3" customWidth="1"/>
    <col min="2" max="2" width="28.83203125" style="24" customWidth="1"/>
    <col min="3" max="3" width="24.5" style="24" hidden="1" customWidth="1"/>
    <col min="4" max="4" width="31" style="26" bestFit="1" customWidth="1"/>
    <col min="5" max="5" width="43.83203125" style="26" customWidth="1"/>
    <col min="6" max="6" width="30" style="26" customWidth="1"/>
    <col min="7" max="7" width="8.1640625" style="26" hidden="1" customWidth="1"/>
    <col min="8" max="17" width="8.1640625" hidden="1" customWidth="1"/>
    <col min="18" max="22" width="10.5" hidden="1" customWidth="1"/>
    <col min="23" max="23" width="16.6640625" hidden="1" customWidth="1"/>
    <col min="24" max="24" width="25" hidden="1" customWidth="1"/>
    <col min="25" max="38" width="22.1640625" hidden="1" customWidth="1"/>
    <col min="39" max="39" width="12.83203125" hidden="1" customWidth="1"/>
    <col min="40" max="40" width="10.83203125" hidden="1" customWidth="1"/>
    <col min="41" max="42" width="14.1640625" customWidth="1"/>
    <col min="43" max="43" width="17.6640625" hidden="1" customWidth="1"/>
    <col min="44" max="44" width="17.5" hidden="1" customWidth="1"/>
    <col min="45" max="45" width="11.83203125" hidden="1" customWidth="1"/>
    <col min="46" max="46" width="14.83203125" hidden="1" customWidth="1"/>
    <col min="47" max="47" width="5.33203125" hidden="1" customWidth="1"/>
    <col min="48" max="48" width="8.5" hidden="1" customWidth="1"/>
    <col min="49" max="49" width="36" hidden="1" customWidth="1"/>
    <col min="50" max="50" width="17" hidden="1" customWidth="1"/>
    <col min="51" max="52" width="16.33203125" hidden="1" customWidth="1"/>
    <col min="53" max="53" width="9.5" hidden="1" customWidth="1"/>
    <col min="54" max="54" width="40.6640625" hidden="1" customWidth="1"/>
    <col min="55" max="55" width="16.5" hidden="1" customWidth="1"/>
    <col min="56" max="56" width="24.83203125" bestFit="1" customWidth="1"/>
    <col min="57" max="57" width="34.5" customWidth="1"/>
    <col min="58" max="58" width="43.5" customWidth="1"/>
    <col min="59" max="95" width="7.1640625" customWidth="1"/>
    <col min="96" max="96" width="7.6640625" customWidth="1"/>
    <col min="97" max="97" width="16" hidden="1" customWidth="1"/>
    <col min="98" max="98" width="41" hidden="1" customWidth="1"/>
    <col min="99" max="99" width="18" hidden="1" customWidth="1"/>
    <col min="100" max="100" width="11.5" hidden="1" customWidth="1"/>
    <col min="101" max="113" width="9.1640625" hidden="1" customWidth="1"/>
    <col min="114" max="132" width="9.1640625" customWidth="1"/>
  </cols>
  <sheetData>
    <row r="1" spans="1:15" ht="20" hidden="1" x14ac:dyDescent="0.2">
      <c r="A1" s="43"/>
      <c r="B1" s="867"/>
      <c r="C1" s="867"/>
      <c r="D1" s="25" t="s">
        <v>93</v>
      </c>
      <c r="E1" s="25" t="s">
        <v>94</v>
      </c>
      <c r="F1" s="25" t="s">
        <v>95</v>
      </c>
      <c r="G1" s="789" t="s">
        <v>165</v>
      </c>
      <c r="H1" s="790">
        <v>18000</v>
      </c>
      <c r="I1" s="791"/>
      <c r="J1" s="791"/>
      <c r="K1" s="791"/>
      <c r="L1" s="791"/>
      <c r="M1" s="791"/>
      <c r="N1" s="791"/>
      <c r="O1" s="792"/>
    </row>
    <row r="2" spans="1:15" ht="28.5" hidden="1" customHeight="1" x14ac:dyDescent="0.2">
      <c r="A2" s="43"/>
      <c r="B2" s="868" t="s">
        <v>24</v>
      </c>
      <c r="C2" s="28">
        <v>688</v>
      </c>
      <c r="D2" s="29">
        <f>+COS(($B$132*-1)*3.14159265358979/180)*C2</f>
        <v>688</v>
      </c>
      <c r="E2" s="30">
        <f>+COS(($B$132*-1)*3.14159265358979/180)*43</f>
        <v>43</v>
      </c>
      <c r="F2" s="755">
        <f>+COS((($B$132*-1)+72.969997)*3.14159265358979/180)*162.1867</f>
        <v>47.500013702602963</v>
      </c>
      <c r="G2" s="793" t="s">
        <v>157</v>
      </c>
      <c r="H2" s="757">
        <v>77</v>
      </c>
      <c r="O2" s="794"/>
    </row>
    <row r="3" spans="1:15" ht="28.5" hidden="1" customHeight="1" thickBot="1" x14ac:dyDescent="0.25">
      <c r="A3" s="43"/>
      <c r="B3" s="868" t="s">
        <v>102</v>
      </c>
      <c r="C3" s="869">
        <f>+C15-47.5</f>
        <v>248.32625711928648</v>
      </c>
      <c r="D3" s="29">
        <f>+C15-F2</f>
        <v>248.32624341668352</v>
      </c>
      <c r="E3" s="46"/>
      <c r="F3" s="46"/>
      <c r="G3" s="793" t="s">
        <v>158</v>
      </c>
      <c r="H3" s="758">
        <v>215</v>
      </c>
      <c r="I3" s="165"/>
      <c r="O3" s="794"/>
    </row>
    <row r="4" spans="1:15" ht="58" hidden="1" thickBot="1" x14ac:dyDescent="0.25">
      <c r="A4" s="43"/>
      <c r="B4" s="870" t="s">
        <v>103</v>
      </c>
      <c r="C4" s="871">
        <v>1075</v>
      </c>
      <c r="D4" s="29">
        <f>+COS(($B$132*-1)*3.14159265358979/180)*C4</f>
        <v>1075</v>
      </c>
      <c r="E4" s="46"/>
      <c r="F4" s="46"/>
      <c r="G4" s="795" t="s">
        <v>178</v>
      </c>
      <c r="H4" s="762">
        <v>860</v>
      </c>
      <c r="I4" s="783">
        <v>1</v>
      </c>
      <c r="J4" s="1047" t="s">
        <v>173</v>
      </c>
      <c r="K4" s="1048"/>
      <c r="L4" s="1048"/>
      <c r="M4" s="1048"/>
      <c r="O4" s="794"/>
    </row>
    <row r="5" spans="1:15" ht="38" hidden="1" x14ac:dyDescent="0.2">
      <c r="A5" s="43"/>
      <c r="B5" s="870" t="s">
        <v>104</v>
      </c>
      <c r="C5" s="871">
        <f>+C15+425.5</f>
        <v>721.32625711928654</v>
      </c>
      <c r="D5" s="29">
        <f>+(COS(($B$132*-1)*3.14159265358979/180)*473)+$D$3</f>
        <v>721.3262434166835</v>
      </c>
      <c r="E5" s="46"/>
      <c r="F5" s="46"/>
      <c r="G5" s="795" t="s">
        <v>159</v>
      </c>
      <c r="H5" s="762">
        <v>688</v>
      </c>
      <c r="J5" s="761" t="s">
        <v>162</v>
      </c>
      <c r="K5" s="761" t="s">
        <v>170</v>
      </c>
      <c r="L5" s="771" t="s">
        <v>169</v>
      </c>
      <c r="M5" s="1050"/>
      <c r="O5" s="794"/>
    </row>
    <row r="6" spans="1:15" ht="20" hidden="1" x14ac:dyDescent="0.2">
      <c r="A6" s="43"/>
      <c r="B6" s="872"/>
      <c r="C6" s="873"/>
      <c r="D6" s="46"/>
      <c r="E6" s="46"/>
      <c r="F6" s="46"/>
      <c r="G6" s="795" t="s">
        <v>204</v>
      </c>
      <c r="H6" s="762">
        <v>602</v>
      </c>
      <c r="J6" s="763">
        <f>+H9/H8*BG51</f>
        <v>100.33148726292856</v>
      </c>
      <c r="K6" s="763">
        <f>((H8-H9)/H8)*BG51</f>
        <v>-68.977897493263384</v>
      </c>
      <c r="L6" s="763">
        <f>+CE51</f>
        <v>63.946410230334827</v>
      </c>
      <c r="M6" s="761" t="s">
        <v>168</v>
      </c>
      <c r="O6" s="794"/>
    </row>
    <row r="7" spans="1:15" ht="38" hidden="1" x14ac:dyDescent="0.2">
      <c r="A7" s="43"/>
      <c r="B7" s="883" t="s">
        <v>211</v>
      </c>
      <c r="C7" s="874">
        <v>5800</v>
      </c>
      <c r="D7" s="874">
        <v>10000</v>
      </c>
      <c r="E7" s="46"/>
      <c r="F7" s="46"/>
      <c r="G7" s="796" t="s">
        <v>175</v>
      </c>
      <c r="H7" s="756">
        <f>(+SIN(($B$132*-1)*3.14159265358979/180)*H2)</f>
        <v>0</v>
      </c>
      <c r="J7" s="763">
        <f>ABS($H$1/J6)</f>
        <v>179.40529430037475</v>
      </c>
      <c r="K7" s="763">
        <f>ABS($H$1/K6)</f>
        <v>260.95315534599968</v>
      </c>
      <c r="L7" s="763">
        <f>ABS($H$1/L6)</f>
        <v>281.4856992779429</v>
      </c>
      <c r="M7" s="759" t="s">
        <v>167</v>
      </c>
      <c r="O7" s="794"/>
    </row>
    <row r="8" spans="1:15" ht="21" hidden="1" thickBot="1" x14ac:dyDescent="0.25">
      <c r="A8" s="43"/>
      <c r="B8" s="883" t="s">
        <v>212</v>
      </c>
      <c r="C8" s="875">
        <v>8000</v>
      </c>
      <c r="D8" s="875">
        <v>8000</v>
      </c>
      <c r="E8" s="874">
        <v>8000</v>
      </c>
      <c r="F8" s="46"/>
      <c r="G8" s="796" t="s">
        <v>174</v>
      </c>
      <c r="H8" s="756">
        <f>(+COS(($B$132*-1)*3.14159265358979/180)*H3)</f>
        <v>215</v>
      </c>
      <c r="J8" s="1045">
        <f>ABS($E$8/BG51)</f>
        <v>255.15419633831078</v>
      </c>
      <c r="K8" s="1045"/>
      <c r="L8" s="1045">
        <f>ABS($E$8/CE51)</f>
        <v>125.10475523464129</v>
      </c>
      <c r="M8" s="1046" t="s">
        <v>308</v>
      </c>
      <c r="O8" s="794"/>
    </row>
    <row r="9" spans="1:15" ht="21" hidden="1" thickBot="1" x14ac:dyDescent="0.25">
      <c r="A9" s="43"/>
      <c r="B9" s="876"/>
      <c r="C9" s="877" t="s">
        <v>18</v>
      </c>
      <c r="D9" s="877" t="s">
        <v>19</v>
      </c>
      <c r="E9" s="46"/>
      <c r="F9" s="46"/>
      <c r="G9" s="793" t="s">
        <v>172</v>
      </c>
      <c r="H9" s="756">
        <f>+D2+H7</f>
        <v>688</v>
      </c>
      <c r="O9" s="794"/>
    </row>
    <row r="10" spans="1:15" ht="21" hidden="1" thickBot="1" x14ac:dyDescent="0.25">
      <c r="A10" s="43"/>
      <c r="B10" s="876" t="s">
        <v>15</v>
      </c>
      <c r="C10" s="878">
        <f>+((C13-C15)/C13)*C12</f>
        <v>38.043463995798405</v>
      </c>
      <c r="D10" s="878">
        <f>+(C15/C13)*C12</f>
        <v>57.256536004201593</v>
      </c>
      <c r="E10" s="46"/>
      <c r="F10" s="46"/>
      <c r="G10" s="797"/>
      <c r="I10" s="783">
        <v>2</v>
      </c>
      <c r="J10" s="1047" t="s">
        <v>180</v>
      </c>
      <c r="K10" s="1047"/>
      <c r="L10" s="1049"/>
      <c r="M10" s="1049"/>
      <c r="O10" s="794"/>
    </row>
    <row r="11" spans="1:15" ht="24" hidden="1" customHeight="1" thickBot="1" x14ac:dyDescent="0.25">
      <c r="A11" s="43"/>
      <c r="B11" s="872"/>
      <c r="C11" s="885" t="s">
        <v>213</v>
      </c>
      <c r="D11" s="46"/>
      <c r="E11" s="46"/>
      <c r="F11" s="46"/>
      <c r="G11" s="793" t="s">
        <v>171</v>
      </c>
      <c r="H11" s="756">
        <f>+D2-H7</f>
        <v>688</v>
      </c>
      <c r="J11" s="771" t="s">
        <v>163</v>
      </c>
      <c r="K11" s="761" t="s">
        <v>160</v>
      </c>
      <c r="L11" s="761" t="s">
        <v>161</v>
      </c>
      <c r="M11" s="1050"/>
      <c r="O11" s="794"/>
    </row>
    <row r="12" spans="1:15" ht="75.75" hidden="1" customHeight="1" thickBot="1" x14ac:dyDescent="0.25">
      <c r="A12" s="43"/>
      <c r="B12" s="879" t="s">
        <v>49</v>
      </c>
      <c r="C12" s="886">
        <f>+(B135*C16)+31+4.5+0.5+30</f>
        <v>95.3</v>
      </c>
      <c r="D12" s="887" t="s">
        <v>223</v>
      </c>
      <c r="E12" s="46"/>
      <c r="F12" s="46"/>
      <c r="G12" s="797"/>
      <c r="H12" s="26"/>
      <c r="J12" s="763">
        <f>(BR54)</f>
        <v>73.285589769665179</v>
      </c>
      <c r="K12" s="763">
        <f>((+H8-H11)/H8*CP54)</f>
        <v>-48.431702506736627</v>
      </c>
      <c r="L12" s="763">
        <f>(H11/H8*CP54)</f>
        <v>70.446112737071459</v>
      </c>
      <c r="M12" s="761" t="s">
        <v>168</v>
      </c>
      <c r="O12" s="794"/>
    </row>
    <row r="13" spans="1:15" ht="24" hidden="1" customHeight="1" thickBot="1" x14ac:dyDescent="0.25">
      <c r="A13" s="43"/>
      <c r="B13" s="880" t="s">
        <v>50</v>
      </c>
      <c r="C13" s="952">
        <v>492.38470000000001</v>
      </c>
      <c r="D13" s="945" t="s">
        <v>229</v>
      </c>
      <c r="E13" s="46"/>
      <c r="F13" s="46"/>
      <c r="G13" s="797"/>
      <c r="J13" s="763">
        <f>ABS($H$1/J12)</f>
        <v>245.61445239880803</v>
      </c>
      <c r="K13" s="763">
        <f>ABS($H$1/K12)</f>
        <v>371.65738696665233</v>
      </c>
      <c r="L13" s="763">
        <f>ABS($H$1/L12)</f>
        <v>255.51445353957348</v>
      </c>
      <c r="M13" s="759" t="s">
        <v>167</v>
      </c>
      <c r="O13" s="794"/>
    </row>
    <row r="14" spans="1:15" ht="24" hidden="1" customHeight="1" x14ac:dyDescent="0.2">
      <c r="A14" s="43"/>
      <c r="B14" s="881">
        <f>+B135</f>
        <v>1</v>
      </c>
      <c r="C14" s="882">
        <f>IF(B14&lt;=24,B14)</f>
        <v>1</v>
      </c>
      <c r="D14" s="46"/>
      <c r="E14" s="46"/>
      <c r="F14" s="46"/>
      <c r="G14" s="797"/>
      <c r="J14" s="1045">
        <f>ABS($E$8/BR54)</f>
        <v>109.16197884391467</v>
      </c>
      <c r="K14" s="1045"/>
      <c r="L14" s="1045">
        <f>ABS($E$8/CP54)</f>
        <v>363.39833392294895</v>
      </c>
      <c r="M14" s="1046" t="s">
        <v>308</v>
      </c>
      <c r="O14" s="794"/>
    </row>
    <row r="15" spans="1:15" ht="24" hidden="1" customHeight="1" thickBot="1" x14ac:dyDescent="0.25">
      <c r="A15" s="43"/>
      <c r="B15" s="880" t="s">
        <v>51</v>
      </c>
      <c r="C15" s="879">
        <f>+Y133</f>
        <v>295.82625711928648</v>
      </c>
      <c r="D15" s="46"/>
      <c r="E15" s="46"/>
      <c r="F15" s="46"/>
      <c r="G15" s="797"/>
      <c r="O15" s="794"/>
    </row>
    <row r="16" spans="1:15" ht="21" hidden="1" thickBot="1" x14ac:dyDescent="0.25">
      <c r="B16" s="912" t="s">
        <v>221</v>
      </c>
      <c r="C16" s="913">
        <v>29.3</v>
      </c>
      <c r="D16" s="917" t="s">
        <v>222</v>
      </c>
      <c r="G16" s="793" t="s">
        <v>176</v>
      </c>
      <c r="H16" s="756">
        <f>+D2+H7-BB131</f>
        <v>-33.326243416683496</v>
      </c>
      <c r="I16" s="783" t="s">
        <v>196</v>
      </c>
      <c r="J16" s="1047" t="s">
        <v>177</v>
      </c>
      <c r="K16" s="1048"/>
      <c r="L16" s="1048"/>
      <c r="M16" s="1048"/>
      <c r="O16" s="794"/>
    </row>
    <row r="17" spans="1:15" ht="20" hidden="1" x14ac:dyDescent="0.2">
      <c r="B17" s="35"/>
      <c r="C17" s="36"/>
      <c r="G17" s="797"/>
      <c r="H17" s="26"/>
      <c r="I17" s="798"/>
      <c r="J17" s="761" t="s">
        <v>162</v>
      </c>
      <c r="K17" s="761" t="s">
        <v>170</v>
      </c>
      <c r="L17" s="761"/>
      <c r="M17" s="1050"/>
      <c r="O17" s="794"/>
    </row>
    <row r="18" spans="1:15" ht="20" hidden="1" x14ac:dyDescent="0.2">
      <c r="B18" s="35"/>
      <c r="C18" s="36"/>
      <c r="G18" s="797"/>
      <c r="J18" s="763">
        <f>+H16/H8*BG49</f>
        <v>-14.772051151674127</v>
      </c>
      <c r="K18" s="763">
        <f>((H8-H16)/H8)*BG49</f>
        <v>110.07205115167412</v>
      </c>
      <c r="L18" s="763"/>
      <c r="M18" s="761" t="s">
        <v>168</v>
      </c>
      <c r="O18" s="794"/>
    </row>
    <row r="19" spans="1:15" ht="20" hidden="1" x14ac:dyDescent="0.2">
      <c r="B19" s="35"/>
      <c r="C19" s="36"/>
      <c r="G19" s="797"/>
      <c r="J19" s="763">
        <f>ABS($H$1/J18)</f>
        <v>1218.5173077985212</v>
      </c>
      <c r="K19" s="763">
        <f>ABS($H$1/K18)</f>
        <v>163.52925026532708</v>
      </c>
      <c r="L19" s="763"/>
      <c r="M19" s="759" t="s">
        <v>167</v>
      </c>
      <c r="O19" s="794"/>
    </row>
    <row r="20" spans="1:15" ht="20" hidden="1" x14ac:dyDescent="0.2">
      <c r="B20" s="35"/>
      <c r="C20" s="36"/>
      <c r="G20" s="797"/>
      <c r="J20" s="1045">
        <f>ABS($E$8/BG49)</f>
        <v>83.945435466946492</v>
      </c>
      <c r="K20" s="1045"/>
      <c r="L20" s="1045"/>
      <c r="M20" s="1046" t="s">
        <v>308</v>
      </c>
      <c r="O20" s="794"/>
    </row>
    <row r="21" spans="1:15" ht="19" hidden="1" thickBot="1" x14ac:dyDescent="0.25">
      <c r="B21" s="35"/>
      <c r="C21" s="36"/>
      <c r="G21" s="797"/>
      <c r="O21" s="794"/>
    </row>
    <row r="22" spans="1:15" ht="21" hidden="1" thickBot="1" x14ac:dyDescent="0.25">
      <c r="B22" s="35"/>
      <c r="C22" s="36"/>
      <c r="G22" s="793" t="s">
        <v>164</v>
      </c>
      <c r="H22" s="756">
        <f>(+COS(($B$132*-1)*3.14159265358979/180)*(H4))</f>
        <v>860</v>
      </c>
      <c r="I22" s="783" t="s">
        <v>196</v>
      </c>
      <c r="J22" s="1047" t="s">
        <v>199</v>
      </c>
      <c r="K22" s="1048"/>
      <c r="L22" s="1048"/>
      <c r="M22" s="1048"/>
      <c r="O22" s="794"/>
    </row>
    <row r="23" spans="1:15" ht="20" hidden="1" x14ac:dyDescent="0.2">
      <c r="B23" s="35"/>
      <c r="C23" s="36"/>
      <c r="G23" s="793" t="s">
        <v>179</v>
      </c>
      <c r="H23" s="756">
        <f>+BB131-H22+H7</f>
        <v>-138.6737565833165</v>
      </c>
      <c r="I23" s="798"/>
      <c r="J23" s="761"/>
      <c r="K23" s="761" t="s">
        <v>160</v>
      </c>
      <c r="L23" s="761" t="s">
        <v>161</v>
      </c>
      <c r="M23" s="1050"/>
      <c r="O23" s="794"/>
    </row>
    <row r="24" spans="1:15" ht="20" hidden="1" x14ac:dyDescent="0.2">
      <c r="B24" s="35"/>
      <c r="C24" s="36"/>
      <c r="G24" s="797"/>
      <c r="J24" s="763"/>
      <c r="K24" s="763">
        <f>((+H8-H23)/H8*BG49)</f>
        <v>156.76794884832586</v>
      </c>
      <c r="L24" s="763">
        <f>(H23/H8*BG49)</f>
        <v>-61.467948848325875</v>
      </c>
      <c r="M24" s="761" t="s">
        <v>168</v>
      </c>
      <c r="O24" s="794"/>
    </row>
    <row r="25" spans="1:15" ht="20" hidden="1" x14ac:dyDescent="0.2">
      <c r="B25" s="35"/>
      <c r="C25" s="36"/>
      <c r="G25" s="797"/>
      <c r="J25" s="763"/>
      <c r="K25" s="763">
        <f>ABS($H$1/K24)</f>
        <v>114.81938835223986</v>
      </c>
      <c r="L25" s="763">
        <f>ABS($H$1/L24)</f>
        <v>292.83554010262446</v>
      </c>
      <c r="M25" s="759" t="s">
        <v>167</v>
      </c>
      <c r="O25" s="794"/>
    </row>
    <row r="26" spans="1:15" ht="20" hidden="1" x14ac:dyDescent="0.2">
      <c r="B26" s="35"/>
      <c r="C26" s="36"/>
      <c r="G26" s="797"/>
      <c r="J26" s="1045"/>
      <c r="K26" s="1045"/>
      <c r="L26" s="1045">
        <f>ABS($E$8/BG49)</f>
        <v>83.945435466946492</v>
      </c>
      <c r="M26" s="1046" t="s">
        <v>308</v>
      </c>
      <c r="O26" s="794"/>
    </row>
    <row r="27" spans="1:15" ht="19" hidden="1" thickBot="1" x14ac:dyDescent="0.25">
      <c r="B27" s="35"/>
      <c r="C27" s="36"/>
      <c r="G27" s="797"/>
      <c r="O27" s="794"/>
    </row>
    <row r="28" spans="1:15" ht="21" hidden="1" thickBot="1" x14ac:dyDescent="0.25">
      <c r="A28" s="43"/>
      <c r="B28" s="44"/>
      <c r="C28" s="45"/>
      <c r="D28" s="46"/>
      <c r="E28" s="46"/>
      <c r="G28" s="797"/>
      <c r="I28" s="783">
        <v>60</v>
      </c>
      <c r="J28" s="1047" t="s">
        <v>186</v>
      </c>
      <c r="K28" s="1048"/>
      <c r="L28" s="1048"/>
      <c r="M28" s="1048"/>
      <c r="O28" s="794"/>
    </row>
    <row r="29" spans="1:15" ht="20" hidden="1" x14ac:dyDescent="0.2">
      <c r="A29" s="43"/>
      <c r="B29" s="44"/>
      <c r="C29" s="45"/>
      <c r="D29" s="46"/>
      <c r="E29" s="46"/>
      <c r="F29" s="46"/>
      <c r="G29" s="797"/>
      <c r="J29" s="761"/>
      <c r="K29" s="761" t="s">
        <v>160</v>
      </c>
      <c r="L29" s="761" t="s">
        <v>161</v>
      </c>
      <c r="M29" s="1050"/>
      <c r="O29" s="794"/>
    </row>
    <row r="30" spans="1:15" ht="20" hidden="1" x14ac:dyDescent="0.2">
      <c r="A30" s="43"/>
      <c r="B30" s="47"/>
      <c r="D30" s="48"/>
      <c r="E30" s="46"/>
      <c r="F30" s="48"/>
      <c r="G30" s="799"/>
      <c r="H30" s="47"/>
      <c r="J30" s="763"/>
      <c r="K30" s="763">
        <f>((+H8-H23)/H8*BG49)</f>
        <v>156.76794884832586</v>
      </c>
      <c r="L30" s="763">
        <f>(H23/H8*BG49)</f>
        <v>-61.467948848325875</v>
      </c>
      <c r="M30" s="761" t="s">
        <v>168</v>
      </c>
      <c r="O30" s="794"/>
    </row>
    <row r="31" spans="1:15" ht="20" hidden="1" x14ac:dyDescent="0.2">
      <c r="A31" s="43"/>
      <c r="B31" s="14"/>
      <c r="C31" s="49"/>
      <c r="D31" s="50"/>
      <c r="E31" s="14"/>
      <c r="F31" s="46"/>
      <c r="G31" s="799"/>
      <c r="H31" s="47"/>
      <c r="J31" s="763"/>
      <c r="K31" s="763">
        <f>ABS($H$1/K30)</f>
        <v>114.81938835223986</v>
      </c>
      <c r="L31" s="763">
        <f>ABS($H$1/L30)</f>
        <v>292.83554010262446</v>
      </c>
      <c r="M31" s="759" t="s">
        <v>167</v>
      </c>
      <c r="O31" s="794"/>
    </row>
    <row r="32" spans="1:15" ht="30" hidden="1" x14ac:dyDescent="0.3">
      <c r="A32" s="43"/>
      <c r="B32" s="51"/>
      <c r="D32" s="46"/>
      <c r="E32" s="52"/>
      <c r="F32" s="46"/>
      <c r="G32" s="799"/>
      <c r="H32" s="47"/>
      <c r="J32" s="1045"/>
      <c r="K32" s="1045"/>
      <c r="L32" s="1045">
        <f>ABS($E$8/BG49)*2</f>
        <v>167.89087093389298</v>
      </c>
      <c r="M32" s="1046" t="s">
        <v>308</v>
      </c>
      <c r="N32" s="1052" t="s">
        <v>309</v>
      </c>
      <c r="O32" s="794"/>
    </row>
    <row r="33" spans="1:57" ht="19" hidden="1" thickBot="1" x14ac:dyDescent="0.25">
      <c r="A33" s="43"/>
      <c r="B33" s="1096"/>
      <c r="C33" s="1097"/>
      <c r="D33" s="1097"/>
      <c r="E33" s="1097"/>
      <c r="F33" s="46"/>
      <c r="G33" s="799"/>
      <c r="H33" s="47"/>
      <c r="O33" s="794"/>
    </row>
    <row r="34" spans="1:57" ht="21" hidden="1" thickBot="1" x14ac:dyDescent="0.25">
      <c r="A34" s="43"/>
      <c r="D34" s="24"/>
      <c r="E34" s="24"/>
      <c r="G34" s="799"/>
      <c r="H34" s="47"/>
      <c r="I34" s="783">
        <v>61</v>
      </c>
      <c r="J34" s="1047" t="s">
        <v>200</v>
      </c>
      <c r="K34" s="1048"/>
      <c r="L34" s="1048"/>
      <c r="M34" s="1048"/>
      <c r="O34" s="794"/>
    </row>
    <row r="35" spans="1:57" ht="20" hidden="1" x14ac:dyDescent="0.2">
      <c r="A35" s="43"/>
      <c r="D35" s="24"/>
      <c r="E35" s="24"/>
      <c r="F35" s="46"/>
      <c r="G35" s="799"/>
      <c r="H35" s="47"/>
      <c r="J35" s="761" t="s">
        <v>162</v>
      </c>
      <c r="K35" s="761" t="s">
        <v>170</v>
      </c>
      <c r="L35" s="761"/>
      <c r="M35" s="1050"/>
      <c r="O35" s="794"/>
    </row>
    <row r="36" spans="1:57" ht="20" hidden="1" x14ac:dyDescent="0.2">
      <c r="A36" s="43"/>
      <c r="D36" s="24"/>
      <c r="E36" s="24"/>
      <c r="F36" s="46"/>
      <c r="G36" s="799"/>
      <c r="H36" s="47"/>
      <c r="J36" s="763">
        <f>+H16/H8*BG49</f>
        <v>-14.772051151674127</v>
      </c>
      <c r="K36" s="763">
        <f>((H8-H16)/H8)*BG49</f>
        <v>110.07205115167412</v>
      </c>
      <c r="L36" s="763"/>
      <c r="M36" s="761" t="s">
        <v>168</v>
      </c>
      <c r="O36" s="794"/>
    </row>
    <row r="37" spans="1:57" ht="20" hidden="1" x14ac:dyDescent="0.2">
      <c r="A37" s="43"/>
      <c r="B37" s="53"/>
      <c r="C37" s="54"/>
      <c r="D37" s="53"/>
      <c r="E37" s="53"/>
      <c r="F37" s="46"/>
      <c r="G37" s="799"/>
      <c r="H37" s="47"/>
      <c r="J37" s="763">
        <f>ABS($H$1/J36)</f>
        <v>1218.5173077985212</v>
      </c>
      <c r="K37" s="763">
        <f>ABS($H$1/K36)</f>
        <v>163.52925026532708</v>
      </c>
      <c r="L37" s="763"/>
      <c r="M37" s="759" t="s">
        <v>167</v>
      </c>
      <c r="O37" s="794"/>
    </row>
    <row r="38" spans="1:57" ht="20" hidden="1" x14ac:dyDescent="0.2">
      <c r="A38" s="43"/>
      <c r="B38" s="53"/>
      <c r="C38" s="54"/>
      <c r="D38" s="53"/>
      <c r="E38" s="53"/>
      <c r="F38" s="46"/>
      <c r="G38" s="799"/>
      <c r="H38" s="47"/>
      <c r="J38" s="1045">
        <f>ABS($E$8/BG49)*2</f>
        <v>167.89087093389298</v>
      </c>
      <c r="K38" s="1045"/>
      <c r="L38" s="1045"/>
      <c r="M38" s="1046" t="s">
        <v>308</v>
      </c>
      <c r="N38" s="1052" t="s">
        <v>309</v>
      </c>
      <c r="O38" s="794"/>
    </row>
    <row r="39" spans="1:57" ht="19" hidden="1" thickBot="1" x14ac:dyDescent="0.25">
      <c r="A39" s="43"/>
      <c r="B39" s="55"/>
      <c r="C39" s="54"/>
      <c r="D39" s="55"/>
      <c r="E39" s="56"/>
      <c r="G39" s="797"/>
      <c r="O39" s="794"/>
    </row>
    <row r="40" spans="1:57" ht="24" hidden="1" thickBot="1" x14ac:dyDescent="0.3">
      <c r="A40" s="43"/>
      <c r="B40" s="53"/>
      <c r="C40" s="54"/>
      <c r="D40" s="53"/>
      <c r="E40" s="15"/>
      <c r="G40" s="797"/>
      <c r="H40" s="841" t="s">
        <v>207</v>
      </c>
      <c r="I40" s="783">
        <v>62</v>
      </c>
      <c r="J40" s="1047" t="s">
        <v>201</v>
      </c>
      <c r="K40" s="1048"/>
      <c r="L40" s="1048"/>
      <c r="M40" s="1048"/>
      <c r="O40" s="794"/>
    </row>
    <row r="41" spans="1:57" ht="20" hidden="1" x14ac:dyDescent="0.2">
      <c r="A41" s="43"/>
      <c r="B41" s="44"/>
      <c r="C41" s="45"/>
      <c r="D41" s="46"/>
      <c r="E41" s="46"/>
      <c r="F41" s="46"/>
      <c r="G41" s="797"/>
      <c r="H41" s="800" t="s">
        <v>195</v>
      </c>
      <c r="J41" s="761" t="s">
        <v>162</v>
      </c>
      <c r="K41" s="761" t="s">
        <v>170</v>
      </c>
      <c r="L41" s="771" t="s">
        <v>187</v>
      </c>
      <c r="M41" s="1050"/>
      <c r="O41" s="794"/>
    </row>
    <row r="42" spans="1:57" ht="23" hidden="1" x14ac:dyDescent="0.25">
      <c r="A42" s="43"/>
      <c r="B42" s="44"/>
      <c r="C42" s="45"/>
      <c r="D42" s="46"/>
      <c r="E42" s="46"/>
      <c r="F42" s="46"/>
      <c r="G42" s="801" t="s">
        <v>190</v>
      </c>
      <c r="H42" s="802">
        <f>SUM(BG123:BQ123)</f>
        <v>10</v>
      </c>
      <c r="J42" s="763">
        <f>+H43/H8*BG49/2</f>
        <v>66.709999999999994</v>
      </c>
      <c r="K42" s="763">
        <f>((H8-H43)/H8)*BG49/2</f>
        <v>-19.059999999999999</v>
      </c>
      <c r="L42" s="763">
        <f>+BG49/2</f>
        <v>47.65</v>
      </c>
      <c r="M42" s="761" t="s">
        <v>168</v>
      </c>
      <c r="O42" s="794"/>
    </row>
    <row r="43" spans="1:57" ht="20" hidden="1" x14ac:dyDescent="0.2">
      <c r="A43" s="43"/>
      <c r="B43" s="44"/>
      <c r="C43" s="45"/>
      <c r="D43" s="46"/>
      <c r="E43" s="46"/>
      <c r="G43" s="793" t="s">
        <v>188</v>
      </c>
      <c r="H43" s="756">
        <f>$H$5-((H42-1)*$E$2)</f>
        <v>301</v>
      </c>
      <c r="J43" s="763">
        <f>ABS($H$1/J42)</f>
        <v>269.82461400089943</v>
      </c>
      <c r="K43" s="763">
        <f>ABS($H$1/K42)</f>
        <v>944.38614900314803</v>
      </c>
      <c r="L43" s="763">
        <f>ABS($H$1/L42)</f>
        <v>377.75445960125921</v>
      </c>
      <c r="M43" s="759" t="s">
        <v>167</v>
      </c>
      <c r="O43" s="794"/>
    </row>
    <row r="44" spans="1:57" ht="20" hidden="1" x14ac:dyDescent="0.2">
      <c r="A44" s="43"/>
      <c r="B44" s="44"/>
      <c r="C44" s="45"/>
      <c r="D44" s="46"/>
      <c r="E44" s="46"/>
      <c r="F44" s="46"/>
      <c r="G44" s="799"/>
      <c r="H44" s="47"/>
      <c r="J44" s="1045"/>
      <c r="K44" s="1045"/>
      <c r="L44" s="1045">
        <f>ABS($E$8/BG49)*2</f>
        <v>167.89087093389298</v>
      </c>
      <c r="M44" s="1046" t="s">
        <v>308</v>
      </c>
      <c r="N44" s="1052" t="s">
        <v>309</v>
      </c>
      <c r="O44" s="794"/>
    </row>
    <row r="45" spans="1:57" ht="21" hidden="1" thickBot="1" x14ac:dyDescent="0.25">
      <c r="A45" s="43"/>
      <c r="D45" s="46"/>
      <c r="E45" s="46"/>
      <c r="G45" s="797"/>
      <c r="H45" s="842" t="s">
        <v>208</v>
      </c>
      <c r="O45" s="794"/>
    </row>
    <row r="46" spans="1:57" ht="21" hidden="1" thickBot="1" x14ac:dyDescent="0.25">
      <c r="A46" s="43"/>
      <c r="D46" s="46"/>
      <c r="E46" s="46"/>
      <c r="F46" s="46"/>
      <c r="G46" s="803"/>
      <c r="H46" s="804" t="s">
        <v>195</v>
      </c>
      <c r="I46" s="783">
        <v>63</v>
      </c>
      <c r="J46" s="1047" t="s">
        <v>202</v>
      </c>
      <c r="K46" s="1048"/>
      <c r="L46" s="1048"/>
      <c r="M46" s="1048"/>
      <c r="O46" s="794"/>
    </row>
    <row r="47" spans="1:57" ht="24" hidden="1" thickBot="1" x14ac:dyDescent="0.3">
      <c r="A47" s="43"/>
      <c r="D47" s="46"/>
      <c r="E47" s="46"/>
      <c r="F47" s="46"/>
      <c r="G47" s="801" t="s">
        <v>190</v>
      </c>
      <c r="H47" s="805">
        <f>SUM(CG123:CQ123)</f>
        <v>0</v>
      </c>
      <c r="J47" s="771" t="s">
        <v>189</v>
      </c>
      <c r="K47" s="761" t="s">
        <v>160</v>
      </c>
      <c r="L47" s="761" t="s">
        <v>161</v>
      </c>
      <c r="M47" s="1050"/>
      <c r="O47" s="794"/>
    </row>
    <row r="48" spans="1:57" ht="26" hidden="1" thickBot="1" x14ac:dyDescent="0.3">
      <c r="A48" s="43"/>
      <c r="D48" s="46"/>
      <c r="E48" s="46"/>
      <c r="G48" s="793" t="s">
        <v>188</v>
      </c>
      <c r="H48" s="756">
        <f>($E$2*(H47-1))-$H$4</f>
        <v>-903</v>
      </c>
      <c r="J48" s="763">
        <f>+BG49/2</f>
        <v>47.65</v>
      </c>
      <c r="K48" s="763">
        <f>((H8-H48)/H8)*BG49/2</f>
        <v>247.78</v>
      </c>
      <c r="L48" s="763">
        <f>+H48/H8*BG49/2</f>
        <v>-200.13</v>
      </c>
      <c r="M48" s="761" t="s">
        <v>168</v>
      </c>
      <c r="O48" s="794"/>
      <c r="BE48" s="819"/>
    </row>
    <row r="49" spans="1:99" s="58" customFormat="1" ht="34.5" customHeight="1" thickBot="1" x14ac:dyDescent="0.25">
      <c r="A49" s="48"/>
      <c r="B49" s="57"/>
      <c r="C49" s="57"/>
      <c r="D49" s="47"/>
      <c r="E49" s="47"/>
      <c r="F49" s="26"/>
      <c r="G49" s="797"/>
      <c r="H49"/>
      <c r="I49"/>
      <c r="J49" s="763">
        <f>ABS($H$1/J48)</f>
        <v>377.75445960125921</v>
      </c>
      <c r="K49" s="763">
        <f>ABS($H$1/K48)</f>
        <v>72.64508838485753</v>
      </c>
      <c r="L49" s="763">
        <f>ABS($H$1/L48)</f>
        <v>89.941538000299801</v>
      </c>
      <c r="M49" s="759" t="s">
        <v>167</v>
      </c>
      <c r="O49" s="809"/>
      <c r="AY49"/>
      <c r="AZ49"/>
      <c r="BA49"/>
      <c r="BB49"/>
      <c r="BC49"/>
      <c r="BD49"/>
      <c r="BF49" s="59" t="s">
        <v>23</v>
      </c>
      <c r="BG49" s="1105">
        <f>+C12</f>
        <v>95.3</v>
      </c>
      <c r="BH49" s="1105"/>
      <c r="BI49" s="60" t="s">
        <v>15</v>
      </c>
      <c r="BJ49" s="60"/>
      <c r="BK49" s="61" t="s">
        <v>264</v>
      </c>
      <c r="BL49" s="62"/>
      <c r="BM49" s="62"/>
      <c r="BN49" s="62"/>
      <c r="BO49" s="62"/>
      <c r="BP49" s="62"/>
      <c r="BQ49" s="62"/>
      <c r="BR49" s="62"/>
      <c r="BS49" s="62"/>
      <c r="BT49" s="62"/>
      <c r="BU49" s="62"/>
      <c r="BV49" s="62"/>
      <c r="BW49" s="62"/>
      <c r="BX49" s="62"/>
      <c r="BY49" s="62"/>
      <c r="BZ49" s="62"/>
      <c r="CA49" s="62"/>
      <c r="CB49" s="62"/>
      <c r="CC49" s="62"/>
      <c r="CD49" s="62"/>
      <c r="CE49" s="62"/>
      <c r="CF49" s="62"/>
      <c r="CG49" s="62"/>
      <c r="CH49" s="62"/>
      <c r="CI49" s="62"/>
      <c r="CJ49" s="62"/>
      <c r="CK49" s="62"/>
      <c r="CL49" s="62"/>
      <c r="CM49" s="62"/>
      <c r="CN49" s="62"/>
      <c r="CO49" s="62"/>
      <c r="CP49" s="62"/>
      <c r="CQ49" s="62"/>
      <c r="CR49" s="62"/>
      <c r="CS49" s="62"/>
      <c r="CT49" s="62"/>
    </row>
    <row r="50" spans="1:99" ht="43" thickBot="1" x14ac:dyDescent="0.3">
      <c r="A50" s="43"/>
      <c r="D50" s="46"/>
      <c r="E50" s="46"/>
      <c r="G50" s="797"/>
      <c r="J50" s="1045">
        <f>ABS($E$8/BG49)*2</f>
        <v>167.89087093389298</v>
      </c>
      <c r="K50" s="1045"/>
      <c r="L50" s="1045"/>
      <c r="M50" s="1046" t="s">
        <v>308</v>
      </c>
      <c r="N50" s="1052" t="s">
        <v>309</v>
      </c>
      <c r="O50" s="794"/>
      <c r="AT50" s="63"/>
      <c r="AU50" s="64"/>
      <c r="AV50" s="64"/>
      <c r="AW50" s="64"/>
      <c r="AX50" s="64"/>
      <c r="BC50" s="753" t="b">
        <f>AND(BG51&gt;0,CE51&gt;0)</f>
        <v>1</v>
      </c>
      <c r="BD50" s="752" t="str">
        <f>IF(BC50=TRUE,"","negative force at the motor")</f>
        <v/>
      </c>
      <c r="BE50" s="866" t="s">
        <v>112</v>
      </c>
      <c r="BF50" s="583" t="s">
        <v>25</v>
      </c>
      <c r="BG50" s="619" t="s">
        <v>26</v>
      </c>
      <c r="BH50" s="620"/>
      <c r="BI50" s="621"/>
      <c r="BJ50" s="621"/>
      <c r="BK50" s="621"/>
      <c r="BL50" s="621"/>
      <c r="BM50" s="621"/>
      <c r="BN50" s="621"/>
      <c r="BO50" s="621"/>
      <c r="BP50" s="621"/>
      <c r="BQ50" s="621"/>
      <c r="BR50" s="621"/>
      <c r="BS50" s="621"/>
      <c r="BT50" s="621"/>
      <c r="BU50" s="621"/>
      <c r="BV50" s="621"/>
      <c r="BW50" s="621"/>
      <c r="BX50" s="621"/>
      <c r="BY50" s="622"/>
      <c r="BZ50" s="623"/>
      <c r="CA50" s="624"/>
      <c r="CB50" s="624"/>
      <c r="CC50" s="624"/>
      <c r="CD50" s="624"/>
      <c r="CE50" s="620"/>
      <c r="CF50" s="625" t="s">
        <v>27</v>
      </c>
      <c r="CG50" s="1092"/>
      <c r="CH50" s="1092"/>
      <c r="CI50" s="1092"/>
      <c r="CJ50" s="1092"/>
      <c r="CK50" s="1092"/>
      <c r="CL50" s="1092"/>
      <c r="CM50" s="1092"/>
      <c r="CN50" s="1092"/>
      <c r="CO50" s="1092"/>
      <c r="CP50" s="1092"/>
      <c r="CQ50" s="1093"/>
      <c r="CR50" s="62"/>
      <c r="CS50" s="62"/>
      <c r="CT50" s="62"/>
    </row>
    <row r="51" spans="1:99" ht="49.5" customHeight="1" thickBot="1" x14ac:dyDescent="0.3">
      <c r="A51" s="43"/>
      <c r="D51" s="46"/>
      <c r="E51" s="46"/>
      <c r="G51" s="797"/>
      <c r="O51" s="794"/>
      <c r="AS51" s="1106"/>
      <c r="AT51" s="1106"/>
      <c r="AU51" s="64"/>
      <c r="AV51" s="64"/>
      <c r="AW51" s="64"/>
      <c r="AX51" s="64"/>
      <c r="BA51" s="767">
        <v>1</v>
      </c>
      <c r="BB51" s="765"/>
      <c r="BC51" s="765" t="b">
        <f>AND(BE51&gt;=10,$AO$138&gt;=10,$AP$138&gt;=10,MIN(J7:L8)&gt;=10)</f>
        <v>1</v>
      </c>
      <c r="BD51" s="67" t="str">
        <f>IF(BC51=TRUE,"O K","OVERLOAD")</f>
        <v>O K</v>
      </c>
      <c r="BE51" s="781">
        <f>+MIN(J7:L8)</f>
        <v>125.10475523464129</v>
      </c>
      <c r="BF51" s="584" t="s">
        <v>134</v>
      </c>
      <c r="BG51" s="1100">
        <f>+((D4-D5)/D4)*C12</f>
        <v>31.353589769665174</v>
      </c>
      <c r="BH51" s="1101"/>
      <c r="BI51" s="626"/>
      <c r="BJ51" s="626"/>
      <c r="BK51" s="626"/>
      <c r="BL51" s="627"/>
      <c r="BM51" s="627"/>
      <c r="BN51" s="627"/>
      <c r="BO51" s="628"/>
      <c r="BP51" s="628"/>
      <c r="BQ51" s="628"/>
      <c r="BR51" s="628"/>
      <c r="BS51" s="628"/>
      <c r="BT51" s="628"/>
      <c r="BU51" s="628"/>
      <c r="BV51" s="628"/>
      <c r="BW51" s="628"/>
      <c r="BX51" s="628"/>
      <c r="BY51" s="629"/>
      <c r="BZ51" s="626"/>
      <c r="CA51" s="626"/>
      <c r="CB51" s="626"/>
      <c r="CC51" s="627"/>
      <c r="CD51" s="627"/>
      <c r="CE51" s="1090">
        <f>+(D5/D4)*C12</f>
        <v>63.946410230334827</v>
      </c>
      <c r="CF51" s="1091"/>
      <c r="CG51" s="1094"/>
      <c r="CH51" s="1094"/>
      <c r="CI51" s="1094"/>
      <c r="CJ51" s="1094"/>
      <c r="CK51" s="1094"/>
      <c r="CL51" s="1094"/>
      <c r="CM51" s="1094"/>
      <c r="CN51" s="1094"/>
      <c r="CO51" s="1094"/>
      <c r="CP51" s="1094"/>
      <c r="CQ51" s="1095"/>
      <c r="CR51" s="62"/>
      <c r="CS51" s="62"/>
      <c r="CT51" s="62"/>
      <c r="CU51" s="62"/>
    </row>
    <row r="52" spans="1:99" ht="14.25" customHeight="1" thickBot="1" x14ac:dyDescent="0.3">
      <c r="G52" s="797"/>
      <c r="I52" s="783">
        <v>64</v>
      </c>
      <c r="J52" s="1047" t="s">
        <v>203</v>
      </c>
      <c r="K52" s="1048"/>
      <c r="L52" s="1048"/>
      <c r="M52" s="1048"/>
      <c r="O52" s="794"/>
      <c r="AS52" s="68"/>
      <c r="AT52" s="68"/>
      <c r="AU52" s="64"/>
      <c r="AV52" s="64"/>
      <c r="AW52" s="64"/>
      <c r="AX52" s="64"/>
      <c r="BC52" s="753"/>
      <c r="BD52" s="69"/>
      <c r="BE52" s="68"/>
      <c r="BF52" s="70"/>
      <c r="BG52" s="71"/>
      <c r="BH52" s="71"/>
      <c r="BI52" s="70"/>
      <c r="BJ52" s="70"/>
      <c r="BK52" s="70"/>
      <c r="BL52" s="70"/>
      <c r="BM52" s="70"/>
      <c r="BN52" s="70"/>
      <c r="BO52" s="70"/>
      <c r="BP52" s="70"/>
      <c r="BQ52" s="70"/>
      <c r="BR52" s="70"/>
      <c r="BS52" s="70"/>
      <c r="BT52" s="70"/>
      <c r="BU52" s="70"/>
      <c r="BV52" s="70"/>
      <c r="BW52" s="70"/>
      <c r="BX52" s="70"/>
      <c r="BZ52" s="60"/>
      <c r="CA52" s="60"/>
      <c r="CB52" s="71"/>
      <c r="CC52" s="72"/>
      <c r="CD52" s="72"/>
      <c r="CE52" s="72"/>
      <c r="CF52" s="72"/>
      <c r="CG52" s="72"/>
      <c r="CH52" s="72"/>
      <c r="CI52" s="72"/>
      <c r="CJ52" s="72"/>
      <c r="CK52" s="72"/>
      <c r="CL52" s="72"/>
      <c r="CM52" s="72"/>
      <c r="CN52" s="72"/>
      <c r="CO52" s="72"/>
      <c r="CP52" s="72"/>
      <c r="CQ52" s="72"/>
      <c r="CR52" s="72"/>
      <c r="CS52" s="62"/>
      <c r="CT52" s="62"/>
      <c r="CU52" s="62"/>
    </row>
    <row r="53" spans="1:99" ht="49.5" customHeight="1" thickBot="1" x14ac:dyDescent="0.3">
      <c r="F53" s="46"/>
      <c r="G53" s="801" t="s">
        <v>190</v>
      </c>
      <c r="H53" s="806" t="s">
        <v>197</v>
      </c>
      <c r="J53" s="771" t="s">
        <v>189</v>
      </c>
      <c r="K53" s="761"/>
      <c r="L53" s="771" t="s">
        <v>187</v>
      </c>
      <c r="M53" s="1050"/>
      <c r="O53" s="794"/>
      <c r="AU53" s="64"/>
      <c r="AV53" s="64"/>
      <c r="AW53" s="64"/>
      <c r="AX53" s="64"/>
      <c r="BC53" s="753" t="b">
        <f>AND(BR54&gt;0,CP54&gt;0)</f>
        <v>1</v>
      </c>
      <c r="BD53" s="752" t="str">
        <f>IF(BC53=TRUE,"","negative force at the motor")</f>
        <v/>
      </c>
      <c r="BE53" s="866" t="s">
        <v>112</v>
      </c>
      <c r="BF53" s="585" t="s">
        <v>25</v>
      </c>
      <c r="BG53" s="1102"/>
      <c r="BH53" s="1092"/>
      <c r="BI53" s="1092"/>
      <c r="BJ53" s="1092"/>
      <c r="BK53" s="1092"/>
      <c r="BL53" s="1092"/>
      <c r="BM53" s="1092"/>
      <c r="BN53" s="1092"/>
      <c r="BO53" s="1092"/>
      <c r="BP53" s="1092"/>
      <c r="BQ53" s="1092"/>
      <c r="BR53" s="615" t="s">
        <v>26</v>
      </c>
      <c r="BS53" s="617"/>
      <c r="BT53" s="604"/>
      <c r="BU53" s="604"/>
      <c r="BV53" s="604"/>
      <c r="BW53" s="604"/>
      <c r="BX53" s="604"/>
      <c r="BY53" s="604"/>
      <c r="BZ53" s="604"/>
      <c r="CA53" s="604"/>
      <c r="CB53" s="604"/>
      <c r="CC53" s="604"/>
      <c r="CD53" s="605"/>
      <c r="CE53" s="606"/>
      <c r="CF53" s="606"/>
      <c r="CG53" s="606"/>
      <c r="CH53" s="606"/>
      <c r="CI53" s="607"/>
      <c r="CJ53" s="607"/>
      <c r="CK53" s="605"/>
      <c r="CL53" s="605"/>
      <c r="CM53" s="605"/>
      <c r="CN53" s="605"/>
      <c r="CO53" s="605"/>
      <c r="CP53" s="608"/>
      <c r="CQ53" s="609" t="s">
        <v>27</v>
      </c>
      <c r="CR53" s="73"/>
      <c r="CS53" s="62"/>
      <c r="CT53" s="62"/>
      <c r="CU53" s="62"/>
    </row>
    <row r="54" spans="1:99" ht="49.5" customHeight="1" thickBot="1" x14ac:dyDescent="0.3">
      <c r="G54" s="793" t="s">
        <v>188</v>
      </c>
      <c r="H54" s="756"/>
      <c r="J54" s="763">
        <f>+((H6-D3)/H6)*BG49</f>
        <v>55.988553160116375</v>
      </c>
      <c r="K54" s="763"/>
      <c r="L54" s="763">
        <f>+(D3/H6)*BG49</f>
        <v>39.311446839883622</v>
      </c>
      <c r="M54" s="761" t="s">
        <v>168</v>
      </c>
      <c r="O54" s="794"/>
      <c r="BA54" s="767">
        <v>2</v>
      </c>
      <c r="BB54" s="765"/>
      <c r="BC54" s="765" t="b">
        <f>AND(BE54&gt;=10,$AO$138&gt;=10,$AP$138&gt;=10,MIN(J13:L14)&gt;=10)</f>
        <v>1</v>
      </c>
      <c r="BD54" s="67" t="str">
        <f>IF(BC54=TRUE,"O K","OVERLOAD")</f>
        <v>O K</v>
      </c>
      <c r="BE54" s="781">
        <f>+MIN(J13:L14)</f>
        <v>109.16197884391467</v>
      </c>
      <c r="BF54" s="586" t="s">
        <v>111</v>
      </c>
      <c r="BG54" s="1103"/>
      <c r="BH54" s="1094"/>
      <c r="BI54" s="1094"/>
      <c r="BJ54" s="1094"/>
      <c r="BK54" s="1094"/>
      <c r="BL54" s="1094"/>
      <c r="BM54" s="1094"/>
      <c r="BN54" s="1094"/>
      <c r="BO54" s="1094"/>
      <c r="BP54" s="1094"/>
      <c r="BQ54" s="1094"/>
      <c r="BR54" s="616">
        <f>+((D4-D3)/D4)*C12</f>
        <v>73.285589769665179</v>
      </c>
      <c r="BS54" s="618"/>
      <c r="BT54" s="610"/>
      <c r="BU54" s="610"/>
      <c r="BV54" s="610"/>
      <c r="BW54" s="610"/>
      <c r="BX54" s="610"/>
      <c r="BY54" s="610"/>
      <c r="BZ54" s="610"/>
      <c r="CA54" s="610"/>
      <c r="CB54" s="610"/>
      <c r="CC54" s="610"/>
      <c r="CD54" s="611"/>
      <c r="CE54" s="612"/>
      <c r="CF54" s="612"/>
      <c r="CG54" s="612"/>
      <c r="CH54" s="612"/>
      <c r="CI54" s="613"/>
      <c r="CJ54" s="613"/>
      <c r="CK54" s="614"/>
      <c r="CL54" s="614"/>
      <c r="CM54" s="614"/>
      <c r="CN54" s="614"/>
      <c r="CO54" s="614"/>
      <c r="CP54" s="1088">
        <f>+(D3/D4)*C12</f>
        <v>22.014410230334828</v>
      </c>
      <c r="CQ54" s="1089"/>
      <c r="CR54" s="75"/>
      <c r="CS54" s="62"/>
      <c r="CT54" s="62"/>
      <c r="CU54" s="62"/>
    </row>
    <row r="55" spans="1:99" ht="14.25" customHeight="1" thickBot="1" x14ac:dyDescent="0.3">
      <c r="F55" s="46"/>
      <c r="G55" s="799"/>
      <c r="H55" s="47"/>
      <c r="J55" s="763">
        <f>ABS($H$1/J54)</f>
        <v>321.49428738627159</v>
      </c>
      <c r="K55" s="763"/>
      <c r="L55" s="763">
        <f>ABS($H$1/L54)</f>
        <v>457.88190074291572</v>
      </c>
      <c r="M55" s="759" t="s">
        <v>167</v>
      </c>
      <c r="O55" s="794"/>
      <c r="BC55" s="753"/>
      <c r="BD55" s="69"/>
      <c r="BE55" s="11"/>
      <c r="BF55" s="76"/>
      <c r="BG55" s="76"/>
      <c r="BH55" s="76"/>
      <c r="BI55" s="76"/>
      <c r="BJ55" s="76"/>
      <c r="BK55" s="76"/>
      <c r="BL55" s="76"/>
      <c r="BM55" s="76"/>
      <c r="BN55" s="76"/>
      <c r="BO55" s="77"/>
      <c r="BP55" s="77"/>
      <c r="BQ55" s="72"/>
      <c r="BR55" s="72"/>
      <c r="BS55" s="72"/>
      <c r="BT55" s="72"/>
      <c r="BU55" s="72"/>
      <c r="BV55" s="72"/>
      <c r="BW55" s="72"/>
      <c r="BX55" s="72"/>
      <c r="BY55" s="72"/>
      <c r="BZ55" s="72"/>
      <c r="CA55" s="72"/>
      <c r="CB55" s="72"/>
      <c r="CC55" s="72"/>
      <c r="CD55" s="26"/>
      <c r="CE55" s="78"/>
      <c r="CF55" s="78"/>
      <c r="CG55" s="78"/>
      <c r="CH55" s="78"/>
      <c r="CI55" s="75"/>
      <c r="CJ55" s="75"/>
      <c r="CK55" s="75"/>
      <c r="CL55" s="75"/>
      <c r="CM55" s="75"/>
      <c r="CN55" s="75"/>
      <c r="CO55" s="75"/>
      <c r="CP55" s="75"/>
      <c r="CQ55" s="75"/>
      <c r="CR55" s="75"/>
      <c r="CS55" s="62"/>
      <c r="CT55" s="62"/>
      <c r="CU55" s="62"/>
    </row>
    <row r="56" spans="1:99" ht="49.5" customHeight="1" thickBot="1" x14ac:dyDescent="0.3">
      <c r="F56" s="47"/>
      <c r="G56" s="799"/>
      <c r="H56" s="47"/>
      <c r="I56" s="58"/>
      <c r="J56" s="1045">
        <f>ABS($E$8/BG49)*2</f>
        <v>167.89087093389298</v>
      </c>
      <c r="K56" s="1045"/>
      <c r="L56" s="1045"/>
      <c r="M56" s="1046" t="s">
        <v>308</v>
      </c>
      <c r="N56" s="1052" t="s">
        <v>309</v>
      </c>
      <c r="O56" s="794"/>
      <c r="BC56" s="753" t="b">
        <f>AND(BR57&gt;0,CG57&gt;0)</f>
        <v>1</v>
      </c>
      <c r="BD56" s="752" t="str">
        <f>IF(BC56=TRUE,"","negative force at the motor")</f>
        <v/>
      </c>
      <c r="BE56" s="866" t="s">
        <v>112</v>
      </c>
      <c r="BF56" s="587" t="s">
        <v>25</v>
      </c>
      <c r="BG56" s="1102"/>
      <c r="BH56" s="1092"/>
      <c r="BI56" s="1092"/>
      <c r="BJ56" s="1092"/>
      <c r="BK56" s="1092"/>
      <c r="BL56" s="1092"/>
      <c r="BM56" s="1092"/>
      <c r="BN56" s="1092"/>
      <c r="BO56" s="1092"/>
      <c r="BP56" s="1092"/>
      <c r="BQ56" s="1092"/>
      <c r="BR56" s="709" t="s">
        <v>26</v>
      </c>
      <c r="BS56" s="710"/>
      <c r="BT56" s="719"/>
      <c r="BU56" s="719"/>
      <c r="BV56" s="719"/>
      <c r="BW56" s="719"/>
      <c r="BX56" s="719"/>
      <c r="BY56" s="720"/>
      <c r="BZ56" s="721"/>
      <c r="CA56" s="722"/>
      <c r="CB56" s="722"/>
      <c r="CC56" s="721"/>
      <c r="CD56" s="721"/>
      <c r="CE56" s="721"/>
      <c r="CF56" s="721"/>
      <c r="CG56" s="710"/>
      <c r="CH56" s="713" t="s">
        <v>27</v>
      </c>
      <c r="CI56" s="1092"/>
      <c r="CJ56" s="1092"/>
      <c r="CK56" s="1092"/>
      <c r="CL56" s="1092"/>
      <c r="CM56" s="1092"/>
      <c r="CN56" s="1092"/>
      <c r="CO56" s="1092"/>
      <c r="CP56" s="1092"/>
      <c r="CQ56" s="1093"/>
      <c r="CR56" s="72"/>
      <c r="CS56" s="62"/>
      <c r="CT56" s="62"/>
      <c r="CU56" s="62"/>
    </row>
    <row r="57" spans="1:99" ht="49.5" customHeight="1" thickBot="1" x14ac:dyDescent="0.3">
      <c r="G57" s="797"/>
      <c r="O57" s="794"/>
      <c r="BA57" s="767">
        <v>3</v>
      </c>
      <c r="BB57" s="845"/>
      <c r="BC57" s="753" t="b">
        <f>AND(BE57&gt;=10,$AO$138&gt;=10,$AP$138&gt;=10)</f>
        <v>1</v>
      </c>
      <c r="BD57" s="67" t="str">
        <f>IF(BC57=TRUE,"O K","OVERLOAD")</f>
        <v>O K</v>
      </c>
      <c r="BE57" s="782">
        <f>+$E$8/(MAX(CG57,BR57))</f>
        <v>131.357532116691</v>
      </c>
      <c r="BF57" s="588" t="s">
        <v>108</v>
      </c>
      <c r="BG57" s="1103"/>
      <c r="BH57" s="1094"/>
      <c r="BI57" s="1094"/>
      <c r="BJ57" s="1094"/>
      <c r="BK57" s="1094"/>
      <c r="BL57" s="1094"/>
      <c r="BM57" s="1094"/>
      <c r="BN57" s="1094"/>
      <c r="BO57" s="1094"/>
      <c r="BP57" s="1094"/>
      <c r="BQ57" s="1094"/>
      <c r="BR57" s="1098">
        <f>+((D2-D3)/D2)*C12</f>
        <v>60.902484015101834</v>
      </c>
      <c r="BS57" s="1099"/>
      <c r="BT57" s="723"/>
      <c r="BU57" s="723"/>
      <c r="BV57" s="723"/>
      <c r="BW57" s="723"/>
      <c r="BX57" s="723"/>
      <c r="BY57" s="724"/>
      <c r="BZ57" s="725"/>
      <c r="CA57" s="726"/>
      <c r="CB57" s="726"/>
      <c r="CC57" s="727"/>
      <c r="CD57" s="727"/>
      <c r="CE57" s="727"/>
      <c r="CF57" s="727"/>
      <c r="CG57" s="1086">
        <f>+(D3/D2)*C12</f>
        <v>34.397515984898163</v>
      </c>
      <c r="CH57" s="1087"/>
      <c r="CI57" s="1094"/>
      <c r="CJ57" s="1094"/>
      <c r="CK57" s="1094"/>
      <c r="CL57" s="1094"/>
      <c r="CM57" s="1094"/>
      <c r="CN57" s="1094"/>
      <c r="CO57" s="1094"/>
      <c r="CP57" s="1094"/>
      <c r="CQ57" s="1095"/>
      <c r="CR57" s="72"/>
      <c r="CS57" s="62"/>
      <c r="CT57" s="62"/>
      <c r="CU57" s="62"/>
    </row>
    <row r="58" spans="1:99" ht="15.75" customHeight="1" thickBot="1" x14ac:dyDescent="0.3">
      <c r="G58" s="797"/>
      <c r="O58" s="794"/>
      <c r="BC58" s="753"/>
      <c r="BD58" s="69"/>
      <c r="BE58" s="11"/>
      <c r="BF58" s="76"/>
      <c r="BG58" s="76"/>
      <c r="BH58" s="76"/>
      <c r="BI58" s="76"/>
      <c r="BJ58" s="76"/>
      <c r="BK58" s="76"/>
      <c r="BL58" s="76"/>
      <c r="BM58" s="76"/>
      <c r="BN58" s="76"/>
      <c r="BO58" s="77"/>
      <c r="BP58" s="77"/>
      <c r="BQ58" s="72"/>
      <c r="BR58" s="72"/>
      <c r="BS58" s="72"/>
      <c r="BT58" s="72"/>
      <c r="BU58" s="72"/>
      <c r="BV58" s="72"/>
      <c r="BW58" s="72"/>
      <c r="BX58" s="72"/>
      <c r="BY58" s="72"/>
      <c r="BZ58" s="72"/>
      <c r="CA58" s="76"/>
      <c r="CB58" s="72"/>
      <c r="CC58" s="72"/>
      <c r="CD58" s="26"/>
      <c r="CE58" s="78"/>
      <c r="CF58" s="78"/>
      <c r="CG58" s="78"/>
      <c r="CH58" s="78"/>
      <c r="CI58" s="75"/>
      <c r="CJ58" s="75"/>
      <c r="CK58" s="75"/>
      <c r="CL58" s="75"/>
      <c r="CM58" s="75"/>
      <c r="CN58" s="75"/>
      <c r="CO58" s="75"/>
      <c r="CP58" s="75"/>
      <c r="CQ58" s="75"/>
      <c r="CR58" s="75"/>
      <c r="CS58" s="62"/>
      <c r="CT58" s="62"/>
      <c r="CU58" s="62"/>
    </row>
    <row r="59" spans="1:99" ht="12.75" hidden="1" customHeight="1" x14ac:dyDescent="0.25">
      <c r="G59" s="797"/>
      <c r="O59" s="794"/>
      <c r="U59" s="109"/>
      <c r="V59" s="109"/>
      <c r="W59" s="109"/>
      <c r="X59" s="109"/>
      <c r="Y59" s="109"/>
      <c r="Z59" s="109"/>
      <c r="AA59" s="109"/>
      <c r="AB59" s="109"/>
      <c r="AC59" s="109"/>
      <c r="AD59" s="109"/>
      <c r="AE59" s="109"/>
      <c r="AF59" s="109"/>
      <c r="AG59" s="109"/>
      <c r="AH59" s="109"/>
      <c r="AI59" s="109"/>
      <c r="AJ59" s="109"/>
      <c r="AK59" s="109"/>
      <c r="AL59" s="109"/>
      <c r="AM59" s="109"/>
      <c r="AN59" s="109"/>
      <c r="AO59" s="109"/>
      <c r="AP59" s="109"/>
      <c r="AR59" s="126"/>
      <c r="AS59" s="127"/>
      <c r="AT59" s="127"/>
      <c r="AU59" s="119"/>
      <c r="AV59" s="119"/>
      <c r="AW59" s="119"/>
      <c r="AX59" s="119"/>
      <c r="BC59" s="753"/>
      <c r="BD59" s="69"/>
    </row>
    <row r="60" spans="1:99" ht="23" hidden="1" x14ac:dyDescent="0.25">
      <c r="G60" s="797"/>
      <c r="O60" s="794"/>
      <c r="U60" s="109"/>
      <c r="V60" s="109"/>
      <c r="W60" s="109"/>
      <c r="X60" s="109"/>
      <c r="Y60" s="109"/>
      <c r="Z60" s="109"/>
      <c r="AA60" s="109"/>
      <c r="AB60" s="109"/>
      <c r="AC60" s="109"/>
      <c r="AD60" s="109"/>
      <c r="AE60" s="109"/>
      <c r="AF60" s="109"/>
      <c r="AG60" s="109"/>
      <c r="AH60" s="109"/>
      <c r="AI60" s="109"/>
      <c r="AJ60" s="109"/>
      <c r="AK60" s="109"/>
      <c r="AL60" s="109"/>
      <c r="AM60" s="109"/>
      <c r="AN60" s="109"/>
      <c r="AO60" s="109"/>
      <c r="AP60" s="109"/>
      <c r="AR60" s="126"/>
      <c r="AS60" s="127"/>
      <c r="AT60" s="127"/>
      <c r="AU60" s="119"/>
      <c r="AV60" s="119"/>
      <c r="AW60" s="119"/>
      <c r="AX60" s="119"/>
      <c r="BC60" s="753"/>
      <c r="BD60" s="69"/>
    </row>
    <row r="61" spans="1:99" ht="23" hidden="1" x14ac:dyDescent="0.25">
      <c r="G61" s="797"/>
      <c r="O61" s="794"/>
      <c r="U61" s="109"/>
      <c r="V61" s="109"/>
      <c r="W61" s="109"/>
      <c r="X61" s="109"/>
      <c r="Y61" s="109"/>
      <c r="Z61" s="109"/>
      <c r="AA61" s="109"/>
      <c r="AB61" s="109"/>
      <c r="AC61" s="109"/>
      <c r="AD61" s="109"/>
      <c r="AE61" s="109"/>
      <c r="AF61" s="109"/>
      <c r="AG61" s="109"/>
      <c r="AH61" s="109"/>
      <c r="AI61" s="109"/>
      <c r="AJ61" s="109"/>
      <c r="AK61" s="109"/>
      <c r="AL61" s="109"/>
      <c r="AM61" s="109"/>
      <c r="AN61" s="109"/>
      <c r="AO61" s="109"/>
      <c r="AP61" s="109"/>
      <c r="AR61" s="126"/>
      <c r="AS61" s="127"/>
      <c r="AT61" s="127"/>
      <c r="AU61" s="119"/>
      <c r="AV61" s="119"/>
      <c r="AW61" s="119"/>
      <c r="AX61" s="119"/>
      <c r="BC61" s="753"/>
      <c r="BD61" s="69"/>
      <c r="BE61" s="10"/>
      <c r="BF61" s="160"/>
      <c r="BG61" s="161"/>
      <c r="BH61" s="161"/>
      <c r="BI61" s="161"/>
      <c r="BJ61" s="161"/>
      <c r="BK61" s="161"/>
      <c r="BL61" s="161"/>
      <c r="BM61" s="161"/>
      <c r="BN61" s="161"/>
      <c r="BO61" s="162"/>
      <c r="BP61" s="162"/>
      <c r="BQ61" s="163"/>
      <c r="BR61" s="163"/>
      <c r="BS61" s="163"/>
      <c r="BT61" s="163"/>
      <c r="BU61" s="163"/>
      <c r="BV61" s="163"/>
      <c r="BW61" s="163"/>
      <c r="BX61" s="163"/>
      <c r="BY61" s="26"/>
      <c r="BZ61" s="72"/>
      <c r="CA61" s="164"/>
      <c r="CB61" s="164"/>
      <c r="CC61" s="72"/>
      <c r="CD61" s="72"/>
      <c r="CE61" s="72"/>
      <c r="CF61" s="72"/>
      <c r="CG61" s="72"/>
      <c r="CH61" s="72"/>
      <c r="CI61" s="72"/>
      <c r="CJ61" s="72"/>
      <c r="CK61" s="72"/>
      <c r="CL61" s="72"/>
      <c r="CM61" s="161"/>
      <c r="CN61" s="161"/>
      <c r="CO61" s="161"/>
      <c r="CP61" s="161"/>
      <c r="CQ61" s="161"/>
      <c r="CR61" s="161"/>
      <c r="CS61" s="161"/>
      <c r="CT61" s="161"/>
      <c r="CU61" s="161"/>
    </row>
    <row r="62" spans="1:99" ht="24" hidden="1" thickBot="1" x14ac:dyDescent="0.3">
      <c r="G62" s="797"/>
      <c r="O62" s="794"/>
      <c r="U62" s="109"/>
      <c r="V62" s="109"/>
      <c r="W62" s="109"/>
      <c r="X62" s="109"/>
      <c r="Y62" s="109"/>
      <c r="Z62" s="109"/>
      <c r="AA62" s="109"/>
      <c r="AB62" s="109"/>
      <c r="AC62" s="109"/>
      <c r="AD62" s="109"/>
      <c r="AE62" s="109"/>
      <c r="AF62" s="109"/>
      <c r="AG62" s="109"/>
      <c r="AH62" s="109"/>
      <c r="AI62" s="109"/>
      <c r="AJ62" s="109"/>
      <c r="AK62" s="109"/>
      <c r="AL62" s="109"/>
      <c r="AM62" s="109"/>
      <c r="AN62" s="109"/>
      <c r="AO62" s="109"/>
      <c r="AP62" s="109"/>
      <c r="AR62" s="126"/>
      <c r="AS62" s="127"/>
      <c r="AT62" s="127"/>
      <c r="AU62" s="119"/>
      <c r="AV62" s="119"/>
      <c r="AW62" s="119"/>
      <c r="AX62" s="119"/>
      <c r="BC62" s="753"/>
      <c r="BD62" s="69"/>
      <c r="BE62" s="10"/>
      <c r="BF62" s="160"/>
      <c r="BG62" s="161"/>
      <c r="BH62" s="161"/>
      <c r="BI62" s="161"/>
      <c r="BJ62" s="161"/>
      <c r="BK62" s="161"/>
      <c r="BL62" s="161"/>
      <c r="BM62" s="161"/>
      <c r="BN62" s="161"/>
      <c r="BO62" s="162"/>
      <c r="BP62" s="162"/>
      <c r="BQ62" s="163"/>
      <c r="BR62" s="163"/>
      <c r="BS62" s="163"/>
      <c r="BT62" s="163"/>
      <c r="BU62" s="163"/>
      <c r="BV62" s="163"/>
      <c r="BW62" s="163"/>
      <c r="BX62" s="163"/>
      <c r="BY62" s="26"/>
      <c r="BZ62" s="72"/>
      <c r="CA62" s="164"/>
      <c r="CB62" s="164"/>
      <c r="CC62" s="72"/>
      <c r="CD62" s="72"/>
      <c r="CE62" s="72"/>
      <c r="CF62" s="72"/>
      <c r="CG62" s="72"/>
      <c r="CH62" s="72"/>
      <c r="CI62" s="72"/>
      <c r="CJ62" s="72"/>
      <c r="CK62" s="72"/>
      <c r="CL62" s="72"/>
      <c r="CM62" s="161"/>
      <c r="CN62" s="161"/>
      <c r="CO62" s="161"/>
      <c r="CP62" s="161"/>
      <c r="CQ62" s="161"/>
      <c r="CR62" s="161"/>
      <c r="CS62" s="161"/>
      <c r="CT62" s="161"/>
      <c r="CU62" s="161"/>
    </row>
    <row r="63" spans="1:99" ht="24" hidden="1" thickBot="1" x14ac:dyDescent="0.3">
      <c r="G63" s="797"/>
      <c r="O63" s="794"/>
      <c r="U63" s="109"/>
      <c r="V63" s="109"/>
      <c r="W63" s="109"/>
      <c r="X63" s="109"/>
      <c r="Y63" s="109"/>
      <c r="Z63" s="109"/>
      <c r="AA63" s="109"/>
      <c r="AB63" s="109"/>
      <c r="AC63" s="109"/>
      <c r="AD63" s="109"/>
      <c r="AE63" s="109"/>
      <c r="AF63" s="109"/>
      <c r="AG63" s="109"/>
      <c r="AH63" s="109"/>
      <c r="AI63" s="109"/>
      <c r="AJ63" s="109"/>
      <c r="AK63" s="109"/>
      <c r="AL63" s="109"/>
      <c r="AM63" s="109"/>
      <c r="AN63" s="109"/>
      <c r="AO63" s="109"/>
      <c r="AP63" s="109"/>
      <c r="AR63" s="126"/>
      <c r="AS63" s="127"/>
      <c r="AT63" s="127"/>
      <c r="AU63" s="119"/>
      <c r="AV63" s="119"/>
      <c r="AW63" s="119"/>
      <c r="AX63" s="119"/>
      <c r="BC63" s="753"/>
      <c r="BD63" s="69"/>
      <c r="BE63" s="10"/>
      <c r="BF63" s="160"/>
      <c r="BG63" s="161"/>
      <c r="BH63" s="161"/>
      <c r="BI63" s="161"/>
      <c r="BJ63" s="161"/>
      <c r="BK63" s="161"/>
      <c r="BL63" s="161"/>
      <c r="BM63" s="161"/>
      <c r="BN63" s="161"/>
      <c r="BO63" s="162"/>
      <c r="BP63" s="162"/>
      <c r="BQ63" s="165">
        <v>16</v>
      </c>
      <c r="BR63" s="163"/>
      <c r="BS63" s="163"/>
      <c r="BT63" s="163"/>
      <c r="BU63" s="163"/>
      <c r="BV63" s="163"/>
      <c r="BW63" s="163"/>
      <c r="BX63" s="163"/>
      <c r="BY63" s="26"/>
      <c r="BZ63" s="72"/>
      <c r="CA63" s="164"/>
      <c r="CB63" s="164"/>
      <c r="CC63" s="72"/>
      <c r="CD63" s="72"/>
      <c r="CE63" s="72"/>
      <c r="CF63" s="100" t="b">
        <f>IF(CG81=27,15)</f>
        <v>0</v>
      </c>
      <c r="CG63" s="166"/>
      <c r="CH63" s="86" t="b">
        <f>IF(CG81=27,17)</f>
        <v>0</v>
      </c>
      <c r="CI63" s="72"/>
      <c r="CJ63" s="72"/>
      <c r="CK63" s="72"/>
      <c r="CL63" s="72"/>
      <c r="CM63" s="161"/>
      <c r="CN63" s="161"/>
      <c r="CO63" s="161"/>
      <c r="CP63" s="161"/>
      <c r="CQ63" s="161"/>
      <c r="CR63" s="161"/>
      <c r="CS63" s="161"/>
      <c r="CT63" s="161"/>
      <c r="CU63" s="161"/>
    </row>
    <row r="64" spans="1:99" ht="24" hidden="1" thickBot="1" x14ac:dyDescent="0.3">
      <c r="G64" s="797"/>
      <c r="O64" s="794"/>
      <c r="U64" s="109"/>
      <c r="V64" s="109"/>
      <c r="W64" s="109"/>
      <c r="X64" s="109"/>
      <c r="Y64" s="109"/>
      <c r="Z64" s="109"/>
      <c r="AA64" s="109"/>
      <c r="AB64" s="109"/>
      <c r="AC64" s="109"/>
      <c r="AD64" s="109"/>
      <c r="AE64" s="109"/>
      <c r="AF64" s="109"/>
      <c r="AG64" s="109"/>
      <c r="AH64" s="109"/>
      <c r="AI64" s="109"/>
      <c r="AJ64" s="109"/>
      <c r="AK64" s="109"/>
      <c r="AL64" s="109"/>
      <c r="AM64" s="109"/>
      <c r="AN64" s="109"/>
      <c r="AO64" s="109"/>
      <c r="AP64" s="109"/>
      <c r="AR64" s="126"/>
      <c r="AS64" s="127"/>
      <c r="AT64" s="127"/>
      <c r="AU64" s="119"/>
      <c r="AV64" s="119"/>
      <c r="AW64" s="119"/>
      <c r="AX64" s="119"/>
      <c r="BC64" s="753"/>
      <c r="BD64" s="69"/>
      <c r="BE64" s="10"/>
      <c r="BF64" s="160"/>
      <c r="BG64" s="161"/>
      <c r="BH64" s="161"/>
      <c r="BI64" s="161"/>
      <c r="BJ64" s="161"/>
      <c r="BK64" s="161"/>
      <c r="BL64" s="161"/>
      <c r="BM64" s="161"/>
      <c r="BN64" s="161"/>
      <c r="BO64" s="162"/>
      <c r="BP64" s="162"/>
      <c r="BQ64" s="165">
        <v>15</v>
      </c>
      <c r="BR64" s="163"/>
      <c r="BS64" s="163"/>
      <c r="BT64" s="163"/>
      <c r="BU64" s="163"/>
      <c r="BV64" s="163"/>
      <c r="BW64" s="163"/>
      <c r="BX64" s="163"/>
      <c r="BY64" s="26"/>
      <c r="BZ64" s="72"/>
      <c r="CA64" s="164"/>
      <c r="CB64" s="164"/>
      <c r="CC64" s="72"/>
      <c r="CD64" s="100" t="b">
        <f>IF(CF81=26,13)</f>
        <v>0</v>
      </c>
      <c r="CE64" s="166"/>
      <c r="CF64" s="166"/>
      <c r="CG64" s="166"/>
      <c r="CH64" s="86" t="b">
        <f>IF(CF81=26,17)</f>
        <v>0</v>
      </c>
      <c r="CI64" s="72"/>
      <c r="CJ64" s="72"/>
      <c r="CK64" s="72"/>
      <c r="CL64" s="72"/>
      <c r="CM64" s="161"/>
      <c r="CN64" s="161"/>
      <c r="CO64" s="161"/>
      <c r="CP64" s="161"/>
      <c r="CQ64" s="161"/>
      <c r="CR64" s="161"/>
      <c r="CS64" s="161"/>
      <c r="CT64" s="161"/>
      <c r="CU64" s="161"/>
    </row>
    <row r="65" spans="2:99" ht="24" hidden="1" thickBot="1" x14ac:dyDescent="0.3">
      <c r="G65" s="797"/>
      <c r="O65" s="794"/>
      <c r="U65" s="109"/>
      <c r="V65" s="109"/>
      <c r="W65" s="109"/>
      <c r="X65" s="109"/>
      <c r="Y65" s="109"/>
      <c r="Z65" s="109"/>
      <c r="AA65" s="109"/>
      <c r="AB65" s="109"/>
      <c r="AC65" s="109"/>
      <c r="AD65" s="109"/>
      <c r="AE65" s="109"/>
      <c r="AF65" s="109"/>
      <c r="AG65" s="109"/>
      <c r="AH65" s="109"/>
      <c r="AI65" s="109"/>
      <c r="AJ65" s="109"/>
      <c r="AK65" s="109"/>
      <c r="AL65" s="109"/>
      <c r="AM65" s="109"/>
      <c r="AN65" s="109"/>
      <c r="AO65" s="109"/>
      <c r="AP65" s="109"/>
      <c r="AR65" s="126"/>
      <c r="AS65" s="127"/>
      <c r="AT65" s="127"/>
      <c r="AU65" s="119"/>
      <c r="AV65" s="119"/>
      <c r="AW65" s="119"/>
      <c r="AX65" s="119"/>
      <c r="BC65" s="753"/>
      <c r="BD65" s="69"/>
      <c r="BE65" s="10"/>
      <c r="BF65" s="160"/>
      <c r="BG65" s="161"/>
      <c r="BH65" s="161"/>
      <c r="BI65" s="161"/>
      <c r="BJ65" s="161"/>
      <c r="BK65" s="161"/>
      <c r="BL65" s="161"/>
      <c r="BM65" s="161"/>
      <c r="BN65" s="161"/>
      <c r="BO65" s="162"/>
      <c r="BP65" s="162"/>
      <c r="BQ65" s="165">
        <v>14</v>
      </c>
      <c r="BR65" s="163"/>
      <c r="BS65" s="163"/>
      <c r="BT65" s="163"/>
      <c r="BU65" s="163"/>
      <c r="BV65" s="163"/>
      <c r="BW65" s="163"/>
      <c r="BX65" s="163"/>
      <c r="BY65" s="26"/>
      <c r="BZ65" s="72"/>
      <c r="CA65" s="164"/>
      <c r="CB65" s="100" t="b">
        <f>IF(CE81=25,11)</f>
        <v>0</v>
      </c>
      <c r="CC65" s="166"/>
      <c r="CD65" s="167"/>
      <c r="CE65" s="167"/>
      <c r="CF65" s="167"/>
      <c r="CG65" s="167"/>
      <c r="CH65" s="107" t="b">
        <f>IF(CE81=25,17)</f>
        <v>0</v>
      </c>
      <c r="CI65" s="72"/>
      <c r="CJ65" s="72"/>
      <c r="CK65" s="72"/>
      <c r="CL65" s="72"/>
      <c r="CM65" s="161"/>
      <c r="CN65" s="161"/>
      <c r="CO65" s="161"/>
      <c r="CP65" s="161"/>
      <c r="CQ65" s="161"/>
      <c r="CR65" s="161"/>
      <c r="CS65" s="161"/>
      <c r="CT65" s="161"/>
      <c r="CU65" s="161"/>
    </row>
    <row r="66" spans="2:99" ht="24" hidden="1" thickBot="1" x14ac:dyDescent="0.3">
      <c r="D66" s="47"/>
      <c r="G66" s="797"/>
      <c r="O66" s="794"/>
      <c r="U66" s="109"/>
      <c r="V66" s="109"/>
      <c r="W66" s="109"/>
      <c r="X66" s="109"/>
      <c r="Y66" s="109"/>
      <c r="Z66" s="109"/>
      <c r="AA66" s="109"/>
      <c r="AB66" s="109"/>
      <c r="AC66" s="109"/>
      <c r="AD66" s="109"/>
      <c r="AE66" s="109"/>
      <c r="AF66" s="109"/>
      <c r="AG66" s="109"/>
      <c r="AH66" s="109"/>
      <c r="AI66" s="109"/>
      <c r="AJ66" s="109"/>
      <c r="AK66" s="109"/>
      <c r="AL66" s="109"/>
      <c r="AM66" s="109"/>
      <c r="AN66" s="109"/>
      <c r="AO66" s="109"/>
      <c r="AP66" s="109"/>
      <c r="AR66" s="126"/>
      <c r="AS66" s="127"/>
      <c r="AT66" s="127"/>
      <c r="AU66" s="119"/>
      <c r="AV66" s="119"/>
      <c r="AW66" s="119"/>
      <c r="AX66" s="119"/>
      <c r="BC66" s="753"/>
      <c r="BD66" s="69"/>
      <c r="BE66" s="119"/>
      <c r="BF66" s="160"/>
      <c r="BG66" s="161"/>
      <c r="BH66" s="161"/>
      <c r="BI66" s="161"/>
      <c r="BJ66" s="161"/>
      <c r="BK66" s="161"/>
      <c r="BL66" s="161"/>
      <c r="BM66" s="161"/>
      <c r="BN66" s="161"/>
      <c r="BQ66" s="165">
        <v>13</v>
      </c>
      <c r="BR66" s="161"/>
      <c r="BS66" s="160"/>
      <c r="BT66" s="160"/>
      <c r="BU66" s="160"/>
      <c r="BV66" s="160"/>
      <c r="BW66" s="160"/>
      <c r="BX66" s="160"/>
      <c r="BY66" s="160"/>
      <c r="BZ66" s="100" t="b">
        <f>IF(CD81=24,9)</f>
        <v>0</v>
      </c>
      <c r="CA66" s="168"/>
      <c r="CB66" s="169"/>
      <c r="CC66" s="105"/>
      <c r="CD66" s="169"/>
      <c r="CE66" s="105"/>
      <c r="CF66" s="105"/>
      <c r="CG66" s="104"/>
      <c r="CH66" s="107" t="b">
        <f>IF(CD81=24,17)</f>
        <v>0</v>
      </c>
      <c r="CI66" s="62"/>
      <c r="CJ66" s="62"/>
      <c r="CK66" s="62"/>
      <c r="CL66" s="62"/>
      <c r="CM66" s="62"/>
      <c r="CN66" s="62"/>
      <c r="CO66" s="62"/>
      <c r="CP66" s="62"/>
      <c r="CQ66" s="62"/>
      <c r="CR66" s="62"/>
      <c r="CS66" s="62"/>
      <c r="CT66" s="62"/>
    </row>
    <row r="67" spans="2:99" ht="24" hidden="1" thickBot="1" x14ac:dyDescent="0.3">
      <c r="D67" s="47"/>
      <c r="G67" s="797"/>
      <c r="O67" s="794"/>
      <c r="U67" s="109"/>
      <c r="V67" s="109"/>
      <c r="W67" s="109"/>
      <c r="X67" s="109"/>
      <c r="Y67" s="109"/>
      <c r="Z67" s="109"/>
      <c r="AA67" s="109"/>
      <c r="AB67" s="109"/>
      <c r="AC67" s="109"/>
      <c r="AD67" s="109"/>
      <c r="AE67" s="109"/>
      <c r="AF67" s="109"/>
      <c r="AG67" s="109"/>
      <c r="AH67" s="109"/>
      <c r="AI67" s="109"/>
      <c r="AJ67" s="109"/>
      <c r="AK67" s="109"/>
      <c r="AL67" s="109"/>
      <c r="AM67" s="109"/>
      <c r="AN67" s="109"/>
      <c r="AO67" s="109"/>
      <c r="AP67" s="109"/>
      <c r="AR67" s="126"/>
      <c r="AS67" s="127"/>
      <c r="AT67" s="127"/>
      <c r="AU67" s="119"/>
      <c r="AV67" s="119"/>
      <c r="AW67" s="119"/>
      <c r="AX67" s="119"/>
      <c r="BC67" s="753"/>
      <c r="BD67" s="69"/>
      <c r="BE67" s="119"/>
      <c r="BF67" s="160"/>
      <c r="BG67" s="160"/>
      <c r="BH67" s="161"/>
      <c r="BI67" s="160"/>
      <c r="BJ67" s="160"/>
      <c r="BK67" s="160"/>
      <c r="BQ67" s="165">
        <v>12</v>
      </c>
      <c r="BR67" s="161"/>
      <c r="BS67" s="160"/>
      <c r="BT67" s="160"/>
      <c r="BU67" s="160"/>
      <c r="BV67" s="160"/>
      <c r="BW67" s="160"/>
      <c r="BX67" s="100" t="b">
        <f>IF(CC81=23,7)</f>
        <v>0</v>
      </c>
      <c r="BY67" s="168"/>
      <c r="BZ67" s="168"/>
      <c r="CA67" s="101"/>
      <c r="CB67" s="168"/>
      <c r="CC67" s="168"/>
      <c r="CD67" s="168"/>
      <c r="CE67" s="101"/>
      <c r="CF67" s="101"/>
      <c r="CG67" s="94"/>
      <c r="CH67" s="86" t="b">
        <f>IF(CC81=23,17)</f>
        <v>0</v>
      </c>
      <c r="CI67" s="62"/>
      <c r="CJ67" s="62"/>
      <c r="CK67" s="62"/>
      <c r="CL67" s="62"/>
      <c r="CM67" s="62"/>
      <c r="CN67" s="62"/>
      <c r="CO67" s="62"/>
      <c r="CP67" s="62"/>
      <c r="CQ67" s="62"/>
      <c r="CR67" s="62"/>
      <c r="CS67" s="62"/>
      <c r="CT67" s="62"/>
    </row>
    <row r="68" spans="2:99" ht="24" hidden="1" thickBot="1" x14ac:dyDescent="0.3">
      <c r="D68" s="47"/>
      <c r="G68" s="797"/>
      <c r="O68" s="794"/>
      <c r="U68" s="109"/>
      <c r="V68" s="109"/>
      <c r="W68" s="109"/>
      <c r="X68" s="109"/>
      <c r="Y68" s="109"/>
      <c r="Z68" s="109"/>
      <c r="AA68" s="109"/>
      <c r="AB68" s="109"/>
      <c r="AC68" s="109"/>
      <c r="AD68" s="109"/>
      <c r="AE68" s="109"/>
      <c r="AF68" s="109"/>
      <c r="AG68" s="109"/>
      <c r="AH68" s="109"/>
      <c r="AI68" s="109"/>
      <c r="AJ68" s="109"/>
      <c r="AK68" s="109"/>
      <c r="AL68" s="109"/>
      <c r="AM68" s="109"/>
      <c r="AN68" s="109"/>
      <c r="AO68" s="109"/>
      <c r="AP68" s="109"/>
      <c r="AR68" s="126"/>
      <c r="AS68" s="127"/>
      <c r="AT68" s="127"/>
      <c r="AU68" s="119"/>
      <c r="AV68" s="119"/>
      <c r="AW68" s="119"/>
      <c r="AX68" s="119"/>
      <c r="BC68" s="753"/>
      <c r="BD68" s="69"/>
      <c r="BE68" s="119"/>
      <c r="BF68" s="160"/>
      <c r="BG68" s="160"/>
      <c r="BH68" s="161"/>
      <c r="BI68" s="160"/>
      <c r="BJ68" s="160"/>
      <c r="BK68" s="160"/>
      <c r="BQ68" s="165">
        <v>11</v>
      </c>
      <c r="BR68" s="161"/>
      <c r="BS68" s="160"/>
      <c r="BT68" s="160"/>
      <c r="BU68" s="160"/>
      <c r="BV68" s="100" t="b">
        <f>IF(CB81=22,5)</f>
        <v>0</v>
      </c>
      <c r="BW68" s="168"/>
      <c r="BX68" s="168"/>
      <c r="BY68" s="101"/>
      <c r="BZ68" s="168"/>
      <c r="CA68" s="101"/>
      <c r="CB68" s="168"/>
      <c r="CC68" s="101"/>
      <c r="CD68" s="168"/>
      <c r="CE68" s="101"/>
      <c r="CF68" s="101"/>
      <c r="CG68" s="94"/>
      <c r="CH68" s="86" t="b">
        <f>IF(CB81=22,17)</f>
        <v>0</v>
      </c>
      <c r="CI68" s="62"/>
      <c r="CJ68" s="62"/>
      <c r="CK68" s="62"/>
      <c r="CL68" s="62"/>
      <c r="CM68" s="62"/>
      <c r="CN68" s="62"/>
      <c r="CO68" s="62"/>
      <c r="CP68" s="62"/>
      <c r="CQ68" s="62"/>
      <c r="CR68" s="62"/>
      <c r="CS68" s="62"/>
      <c r="CT68" s="62"/>
    </row>
    <row r="69" spans="2:99" ht="24" hidden="1" thickBot="1" x14ac:dyDescent="0.3">
      <c r="D69" s="47"/>
      <c r="G69" s="797"/>
      <c r="O69" s="794"/>
      <c r="U69" s="109"/>
      <c r="V69" s="109"/>
      <c r="W69" s="109"/>
      <c r="X69" s="109"/>
      <c r="Y69" s="109"/>
      <c r="Z69" s="109"/>
      <c r="AA69" s="109"/>
      <c r="AB69" s="109"/>
      <c r="AC69" s="109"/>
      <c r="AD69" s="109"/>
      <c r="AE69" s="109"/>
      <c r="AF69" s="109"/>
      <c r="AG69" s="109"/>
      <c r="AH69" s="109"/>
      <c r="AI69" s="109"/>
      <c r="AJ69" s="109"/>
      <c r="AK69" s="109"/>
      <c r="AL69" s="109"/>
      <c r="AM69" s="109"/>
      <c r="AN69" s="109"/>
      <c r="AO69" s="109"/>
      <c r="AP69" s="109"/>
      <c r="AR69" s="126"/>
      <c r="AS69" s="127"/>
      <c r="AT69" s="127"/>
      <c r="AU69" s="119"/>
      <c r="AV69" s="119"/>
      <c r="AW69" s="119"/>
      <c r="AX69" s="119"/>
      <c r="BC69" s="753"/>
      <c r="BD69" s="69"/>
      <c r="BE69" s="119"/>
      <c r="BF69" s="160"/>
      <c r="BG69" s="160"/>
      <c r="BH69" s="161"/>
      <c r="BI69" s="160"/>
      <c r="BJ69" s="160"/>
      <c r="BK69" s="160"/>
      <c r="BQ69" s="165">
        <v>10</v>
      </c>
      <c r="BR69" s="161"/>
      <c r="BS69" s="160"/>
      <c r="BT69" s="100" t="b">
        <f>IF(CA81=21,3)</f>
        <v>0</v>
      </c>
      <c r="BU69" s="168"/>
      <c r="BV69" s="168"/>
      <c r="BW69" s="101"/>
      <c r="BX69" s="101"/>
      <c r="BY69" s="101"/>
      <c r="BZ69" s="168"/>
      <c r="CA69" s="168"/>
      <c r="CB69" s="168"/>
      <c r="CC69" s="101"/>
      <c r="CD69" s="168"/>
      <c r="CE69" s="101"/>
      <c r="CF69" s="101"/>
      <c r="CG69" s="94"/>
      <c r="CH69" s="86" t="b">
        <f>IF(CA81=21,17)</f>
        <v>0</v>
      </c>
      <c r="CI69" s="62"/>
      <c r="CJ69" s="62"/>
      <c r="CK69" s="62"/>
      <c r="CL69" s="62"/>
      <c r="CM69" s="62"/>
      <c r="CN69" s="62"/>
      <c r="CO69" s="62"/>
      <c r="CP69" s="62"/>
      <c r="CQ69" s="62"/>
      <c r="CR69" s="62"/>
      <c r="CS69" s="62"/>
      <c r="CT69" s="62"/>
    </row>
    <row r="70" spans="2:99" ht="24" hidden="1" thickBot="1" x14ac:dyDescent="0.3">
      <c r="B70" s="170"/>
      <c r="C70" s="170"/>
      <c r="D70" s="47"/>
      <c r="G70" s="797"/>
      <c r="O70" s="794"/>
      <c r="U70" s="109"/>
      <c r="V70" s="109"/>
      <c r="W70" s="109"/>
      <c r="X70" s="109"/>
      <c r="Y70" s="109"/>
      <c r="Z70" s="109"/>
      <c r="AA70" s="109"/>
      <c r="AB70" s="109"/>
      <c r="AC70" s="109"/>
      <c r="AD70" s="109"/>
      <c r="AE70" s="109"/>
      <c r="AF70" s="109"/>
      <c r="AG70" s="109"/>
      <c r="AH70" s="109"/>
      <c r="AI70" s="109"/>
      <c r="AJ70" s="109"/>
      <c r="AK70" s="109"/>
      <c r="AL70" s="109"/>
      <c r="AM70" s="109"/>
      <c r="AN70" s="109"/>
      <c r="AO70" s="109"/>
      <c r="AP70" s="109"/>
      <c r="AR70" s="126"/>
      <c r="AS70" s="127"/>
      <c r="AT70" s="127"/>
      <c r="AU70" s="119"/>
      <c r="AV70" s="119"/>
      <c r="AW70" s="119"/>
      <c r="AX70" s="119"/>
      <c r="BC70" s="753"/>
      <c r="BD70" s="69"/>
      <c r="BE70" s="119"/>
      <c r="BF70" s="160"/>
      <c r="BG70" s="160"/>
      <c r="BH70" s="161"/>
      <c r="BI70" s="160"/>
      <c r="BJ70" s="160"/>
      <c r="BK70" s="160"/>
      <c r="BQ70" s="165">
        <v>9</v>
      </c>
      <c r="BR70" s="100" t="b">
        <f>IF(BZ81=20,1)</f>
        <v>0</v>
      </c>
      <c r="BS70" s="168"/>
      <c r="BT70" s="168"/>
      <c r="BU70" s="101"/>
      <c r="BV70" s="168"/>
      <c r="BW70" s="168"/>
      <c r="BX70" s="168"/>
      <c r="BY70" s="168"/>
      <c r="BZ70" s="168"/>
      <c r="CA70" s="168"/>
      <c r="CB70" s="168"/>
      <c r="CC70" s="168"/>
      <c r="CD70" s="168"/>
      <c r="CE70" s="101"/>
      <c r="CF70" s="101"/>
      <c r="CG70" s="94"/>
      <c r="CH70" s="86" t="b">
        <f>IF(BZ81=20,17)</f>
        <v>0</v>
      </c>
      <c r="CI70" s="62"/>
      <c r="CJ70" s="62"/>
      <c r="CK70" s="62"/>
      <c r="CL70" s="62"/>
      <c r="CM70" s="62"/>
      <c r="CN70" s="62"/>
      <c r="CO70" s="62"/>
      <c r="CP70" s="62"/>
      <c r="CQ70" s="62"/>
      <c r="CR70" s="62"/>
      <c r="CS70" s="62"/>
      <c r="CT70" s="62"/>
    </row>
    <row r="71" spans="2:99" ht="24" hidden="1" thickBot="1" x14ac:dyDescent="0.3">
      <c r="B71" s="170"/>
      <c r="C71" s="170"/>
      <c r="D71" s="47"/>
      <c r="G71" s="797"/>
      <c r="O71" s="794"/>
      <c r="U71" s="109"/>
      <c r="V71" s="109"/>
      <c r="W71" s="109"/>
      <c r="X71" s="109"/>
      <c r="Y71" s="109"/>
      <c r="Z71" s="109"/>
      <c r="AA71" s="109"/>
      <c r="AB71" s="109"/>
      <c r="AC71" s="109"/>
      <c r="AD71" s="109"/>
      <c r="AE71" s="109"/>
      <c r="AF71" s="109"/>
      <c r="AG71" s="109"/>
      <c r="AH71" s="109"/>
      <c r="AI71" s="109"/>
      <c r="AJ71" s="109"/>
      <c r="AK71" s="109"/>
      <c r="AL71" s="109"/>
      <c r="AM71" s="109"/>
      <c r="AN71" s="109"/>
      <c r="AO71" s="109"/>
      <c r="AP71" s="109"/>
      <c r="AR71" s="126"/>
      <c r="AS71" s="127"/>
      <c r="AT71" s="127"/>
      <c r="AU71" s="119"/>
      <c r="AV71" s="119"/>
      <c r="AW71" s="119"/>
      <c r="AX71" s="119"/>
      <c r="BC71" s="753"/>
      <c r="BD71" s="69"/>
      <c r="BE71" s="119"/>
      <c r="BF71" s="160"/>
      <c r="BG71" s="160"/>
      <c r="BH71" s="161"/>
      <c r="BI71" s="160"/>
      <c r="BJ71" s="160"/>
      <c r="BK71" s="160"/>
      <c r="BQ71" s="165">
        <v>8</v>
      </c>
      <c r="BR71" s="103" t="b">
        <f>IF(BY81=19,1)</f>
        <v>0</v>
      </c>
      <c r="BS71" s="105"/>
      <c r="BT71" s="169"/>
      <c r="BU71" s="169"/>
      <c r="BV71" s="169"/>
      <c r="BW71" s="169"/>
      <c r="BX71" s="169"/>
      <c r="BY71" s="169"/>
      <c r="BZ71" s="169"/>
      <c r="CA71" s="169"/>
      <c r="CB71" s="169"/>
      <c r="CC71" s="169"/>
      <c r="CD71" s="169"/>
      <c r="CE71" s="105"/>
      <c r="CF71" s="107" t="b">
        <f>IF(BY81=19,15)</f>
        <v>0</v>
      </c>
      <c r="CG71" s="62"/>
      <c r="CH71" s="62"/>
      <c r="CI71" s="62"/>
      <c r="CJ71" s="62"/>
      <c r="CK71" s="62"/>
      <c r="CL71" s="62"/>
      <c r="CM71" s="62"/>
      <c r="CN71" s="62"/>
      <c r="CO71" s="62"/>
      <c r="CP71" s="62"/>
      <c r="CQ71" s="62"/>
      <c r="CR71" s="62"/>
      <c r="CS71" s="62"/>
      <c r="CT71" s="62"/>
    </row>
    <row r="72" spans="2:99" ht="24" hidden="1" thickBot="1" x14ac:dyDescent="0.3">
      <c r="G72" s="797"/>
      <c r="O72" s="794"/>
      <c r="U72" s="109"/>
      <c r="V72" s="109"/>
      <c r="W72" s="109"/>
      <c r="X72" s="109"/>
      <c r="Y72" s="109"/>
      <c r="Z72" s="109"/>
      <c r="AA72" s="109"/>
      <c r="AB72" s="109"/>
      <c r="AC72" s="109"/>
      <c r="AD72" s="109"/>
      <c r="AE72" s="109"/>
      <c r="AF72" s="109"/>
      <c r="AG72" s="109"/>
      <c r="AH72" s="109"/>
      <c r="AI72" s="109"/>
      <c r="AJ72" s="109"/>
      <c r="AK72" s="109"/>
      <c r="AL72" s="109"/>
      <c r="AM72" s="109"/>
      <c r="AN72" s="109"/>
      <c r="AO72" s="109"/>
      <c r="AP72" s="109"/>
      <c r="AR72" s="126"/>
      <c r="AS72" s="127"/>
      <c r="AT72" s="127"/>
      <c r="AU72" s="119"/>
      <c r="AV72" s="119"/>
      <c r="AW72" s="119"/>
      <c r="AX72" s="119"/>
      <c r="BC72" s="753"/>
      <c r="BD72" s="69"/>
      <c r="BE72" s="119"/>
      <c r="BF72" s="160"/>
      <c r="BG72" s="160"/>
      <c r="BH72" s="161"/>
      <c r="BI72" s="160"/>
      <c r="BJ72" s="160"/>
      <c r="BK72" s="160"/>
      <c r="BQ72" s="165">
        <v>7</v>
      </c>
      <c r="BR72" s="103">
        <f>IF(BX81=18,1)</f>
        <v>1</v>
      </c>
      <c r="BS72" s="169"/>
      <c r="BT72" s="169"/>
      <c r="BU72" s="169"/>
      <c r="BV72" s="169"/>
      <c r="BW72" s="169"/>
      <c r="BX72" s="169"/>
      <c r="BY72" s="169"/>
      <c r="BZ72" s="169"/>
      <c r="CA72" s="169"/>
      <c r="CB72" s="169"/>
      <c r="CC72" s="169"/>
      <c r="CD72" s="107">
        <f>IF(BX81=18,13)</f>
        <v>13</v>
      </c>
      <c r="CE72" s="161"/>
      <c r="CG72" s="62"/>
      <c r="CH72" s="62"/>
      <c r="CI72" s="62"/>
      <c r="CJ72" s="62"/>
      <c r="CK72" s="62"/>
      <c r="CL72" s="62"/>
      <c r="CM72" s="62"/>
      <c r="CN72" s="62"/>
      <c r="CO72" s="62"/>
      <c r="CP72" s="62"/>
      <c r="CQ72" s="62"/>
      <c r="CR72" s="62"/>
      <c r="CS72" s="62"/>
      <c r="CT72" s="62"/>
    </row>
    <row r="73" spans="2:99" ht="24" hidden="1" thickBot="1" x14ac:dyDescent="0.3">
      <c r="G73" s="797"/>
      <c r="O73" s="794"/>
      <c r="U73" s="109"/>
      <c r="V73" s="109"/>
      <c r="W73" s="109"/>
      <c r="X73" s="109"/>
      <c r="Y73" s="109"/>
      <c r="Z73" s="109"/>
      <c r="AA73" s="109"/>
      <c r="AB73" s="109"/>
      <c r="AC73" s="109"/>
      <c r="AD73" s="109"/>
      <c r="AE73" s="109"/>
      <c r="AF73" s="109"/>
      <c r="AG73" s="109"/>
      <c r="AH73" s="109"/>
      <c r="AI73" s="109"/>
      <c r="AJ73" s="109"/>
      <c r="AK73" s="109"/>
      <c r="AL73" s="109"/>
      <c r="AM73" s="109"/>
      <c r="AN73" s="109"/>
      <c r="AO73" s="109"/>
      <c r="AP73" s="109"/>
      <c r="AR73" s="126"/>
      <c r="AS73" s="127"/>
      <c r="AT73" s="127"/>
      <c r="AU73" s="119"/>
      <c r="AV73" s="119"/>
      <c r="AW73" s="119"/>
      <c r="AX73" s="119"/>
      <c r="BC73" s="753"/>
      <c r="BD73" s="69"/>
      <c r="BE73" s="119"/>
      <c r="BF73" s="160"/>
      <c r="BG73" s="160"/>
      <c r="BH73" s="161"/>
      <c r="BI73" s="160"/>
      <c r="BJ73" s="160"/>
      <c r="BK73" s="160"/>
      <c r="BQ73" s="165">
        <v>6</v>
      </c>
      <c r="BR73" s="103" t="b">
        <f>IF(BW81=17,1)</f>
        <v>0</v>
      </c>
      <c r="BS73" s="169"/>
      <c r="BT73" s="169"/>
      <c r="BU73" s="169"/>
      <c r="BV73" s="169"/>
      <c r="BW73" s="169"/>
      <c r="BX73" s="169"/>
      <c r="BY73" s="169"/>
      <c r="BZ73" s="169"/>
      <c r="CA73" s="169"/>
      <c r="CB73" s="107" t="b">
        <f>IF(BW81=17,11)</f>
        <v>0</v>
      </c>
      <c r="CC73" s="160"/>
      <c r="CD73" s="160"/>
      <c r="CE73" s="161"/>
      <c r="CG73" s="62"/>
      <c r="CH73" s="62"/>
      <c r="CI73" s="62"/>
      <c r="CJ73" s="62"/>
      <c r="CK73" s="62"/>
      <c r="CL73" s="62"/>
      <c r="CM73" s="62"/>
      <c r="CN73" s="62"/>
      <c r="CO73" s="62"/>
      <c r="CP73" s="62"/>
      <c r="CQ73" s="62"/>
      <c r="CR73" s="62"/>
      <c r="CS73" s="62"/>
      <c r="CT73" s="62"/>
    </row>
    <row r="74" spans="2:99" ht="24" hidden="1" thickBot="1" x14ac:dyDescent="0.3">
      <c r="G74" s="797"/>
      <c r="O74" s="794"/>
      <c r="U74" s="109"/>
      <c r="V74" s="109"/>
      <c r="W74" s="109"/>
      <c r="X74" s="109"/>
      <c r="Y74" s="109"/>
      <c r="Z74" s="109"/>
      <c r="AA74" s="109"/>
      <c r="AB74" s="109"/>
      <c r="AC74" s="109"/>
      <c r="AD74" s="109"/>
      <c r="AE74" s="109"/>
      <c r="AF74" s="109"/>
      <c r="AG74" s="109"/>
      <c r="AH74" s="109"/>
      <c r="AI74" s="109"/>
      <c r="AJ74" s="109"/>
      <c r="AK74" s="109"/>
      <c r="AL74" s="109"/>
      <c r="AM74" s="109"/>
      <c r="AN74" s="109"/>
      <c r="AO74" s="109"/>
      <c r="AP74" s="109"/>
      <c r="AR74" s="126"/>
      <c r="AS74" s="127"/>
      <c r="AT74" s="127"/>
      <c r="AU74" s="119"/>
      <c r="AV74" s="119"/>
      <c r="AW74" s="119"/>
      <c r="AX74" s="119"/>
      <c r="BC74" s="753"/>
      <c r="BD74" s="69"/>
      <c r="BE74" s="119"/>
      <c r="BF74" s="160"/>
      <c r="BG74" s="160"/>
      <c r="BH74" s="161"/>
      <c r="BI74" s="160"/>
      <c r="BJ74" s="160"/>
      <c r="BK74" s="160"/>
      <c r="BQ74" s="165">
        <v>5</v>
      </c>
      <c r="BR74" s="100" t="b">
        <f>IF(BV81=16,1)</f>
        <v>0</v>
      </c>
      <c r="BS74" s="168"/>
      <c r="BT74" s="168"/>
      <c r="BU74" s="101"/>
      <c r="BV74" s="168"/>
      <c r="BW74" s="101"/>
      <c r="BX74" s="168"/>
      <c r="BY74" s="168"/>
      <c r="BZ74" s="86" t="b">
        <f>IF(BV81=16,9)</f>
        <v>0</v>
      </c>
      <c r="CA74" s="160"/>
      <c r="CB74" s="160"/>
      <c r="CC74" s="160"/>
      <c r="CD74" s="160"/>
      <c r="CE74" s="161"/>
      <c r="CG74" s="62"/>
      <c r="CH74" s="62"/>
      <c r="CI74" s="62"/>
      <c r="CJ74" s="62"/>
      <c r="CK74" s="62"/>
      <c r="CL74" s="62"/>
      <c r="CM74" s="62"/>
      <c r="CN74" s="62"/>
      <c r="CO74" s="62"/>
      <c r="CP74" s="62"/>
      <c r="CQ74" s="62"/>
      <c r="CR74" s="62"/>
      <c r="CS74" s="62"/>
      <c r="CT74" s="62"/>
    </row>
    <row r="75" spans="2:99" ht="24" hidden="1" thickBot="1" x14ac:dyDescent="0.3">
      <c r="B75" s="170"/>
      <c r="C75" s="170"/>
      <c r="D75" s="47"/>
      <c r="G75" s="797"/>
      <c r="O75" s="794"/>
      <c r="U75" s="109"/>
      <c r="V75" s="109"/>
      <c r="W75" s="109"/>
      <c r="X75" s="109"/>
      <c r="Y75" s="109"/>
      <c r="Z75" s="109"/>
      <c r="AA75" s="109"/>
      <c r="AB75" s="109"/>
      <c r="AC75" s="109"/>
      <c r="AD75" s="109"/>
      <c r="AE75" s="109"/>
      <c r="AF75" s="109"/>
      <c r="AG75" s="109"/>
      <c r="AH75" s="109"/>
      <c r="AI75" s="109"/>
      <c r="AJ75" s="109"/>
      <c r="AK75" s="109"/>
      <c r="AL75" s="109"/>
      <c r="AM75" s="109"/>
      <c r="AN75" s="109"/>
      <c r="AO75" s="109"/>
      <c r="AP75" s="109"/>
      <c r="AR75" s="126"/>
      <c r="AS75" s="127"/>
      <c r="AT75" s="127"/>
      <c r="AU75" s="119"/>
      <c r="AV75" s="119"/>
      <c r="AW75" s="119"/>
      <c r="AX75" s="119"/>
      <c r="BC75" s="753"/>
      <c r="BD75" s="69"/>
      <c r="BE75" s="119"/>
      <c r="BF75" s="160"/>
      <c r="BG75" s="160"/>
      <c r="BH75" s="161"/>
      <c r="BI75" s="160"/>
      <c r="BJ75" s="160"/>
      <c r="BK75" s="160"/>
      <c r="BQ75" s="165">
        <v>4</v>
      </c>
      <c r="BR75" s="100" t="b">
        <f>IF(BU81=15,1)</f>
        <v>0</v>
      </c>
      <c r="BS75" s="101"/>
      <c r="BT75" s="101"/>
      <c r="BU75" s="168"/>
      <c r="BV75" s="101"/>
      <c r="BW75" s="101"/>
      <c r="BX75" s="86" t="b">
        <f>IF(BU81=15,7)</f>
        <v>0</v>
      </c>
      <c r="BY75" s="160"/>
      <c r="BZ75" s="160"/>
      <c r="CA75" s="160"/>
      <c r="CB75" s="160"/>
      <c r="CC75" s="160"/>
      <c r="CD75" s="160"/>
      <c r="CE75" s="161"/>
      <c r="CG75" s="62"/>
      <c r="CH75" s="62"/>
      <c r="CI75" s="62"/>
      <c r="CJ75" s="62"/>
      <c r="CK75" s="62"/>
      <c r="CL75" s="62"/>
      <c r="CM75" s="62"/>
      <c r="CN75" s="62"/>
      <c r="CO75" s="62"/>
      <c r="CP75" s="62"/>
      <c r="CQ75" s="62"/>
      <c r="CR75" s="62"/>
      <c r="CS75" s="62"/>
      <c r="CT75" s="62"/>
    </row>
    <row r="76" spans="2:99" ht="24" hidden="1" thickBot="1" x14ac:dyDescent="0.3">
      <c r="B76" s="170"/>
      <c r="G76" s="797"/>
      <c r="O76" s="794"/>
      <c r="U76" s="109"/>
      <c r="V76" s="109"/>
      <c r="W76" s="109"/>
      <c r="X76" s="109"/>
      <c r="Y76" s="109"/>
      <c r="Z76" s="109"/>
      <c r="AA76" s="109"/>
      <c r="AB76" s="109"/>
      <c r="AC76" s="109"/>
      <c r="AD76" s="109"/>
      <c r="AE76" s="109"/>
      <c r="AF76" s="109"/>
      <c r="AG76" s="109"/>
      <c r="AH76" s="109"/>
      <c r="AI76" s="109"/>
      <c r="AJ76" s="109"/>
      <c r="AK76" s="109"/>
      <c r="AL76" s="109"/>
      <c r="AM76" s="109"/>
      <c r="AN76" s="109"/>
      <c r="AO76" s="109"/>
      <c r="AP76" s="109"/>
      <c r="AR76" s="126"/>
      <c r="AS76" s="127"/>
      <c r="AT76" s="127"/>
      <c r="AU76" s="119"/>
      <c r="AV76" s="119"/>
      <c r="AW76" s="119"/>
      <c r="AX76" s="119"/>
      <c r="BC76" s="753"/>
      <c r="BD76" s="69"/>
      <c r="BE76" s="119"/>
      <c r="BF76" s="160"/>
      <c r="BG76" s="160"/>
      <c r="BH76" s="161"/>
      <c r="BI76" s="160"/>
      <c r="BJ76" s="160"/>
      <c r="BK76" s="160"/>
      <c r="BQ76" s="165">
        <v>3</v>
      </c>
      <c r="BR76" s="103" t="b">
        <f>IF(BT81=14,1)</f>
        <v>0</v>
      </c>
      <c r="BS76" s="169"/>
      <c r="BT76" s="169"/>
      <c r="BU76" s="169"/>
      <c r="BV76" s="107" t="b">
        <f>IF(BT81=14,5)</f>
        <v>0</v>
      </c>
      <c r="BW76" s="160"/>
      <c r="BX76" s="160"/>
      <c r="BY76" s="160"/>
      <c r="BZ76" s="160"/>
      <c r="CA76" s="160"/>
      <c r="CB76" s="160"/>
      <c r="CC76" s="160"/>
      <c r="CD76" s="160"/>
      <c r="CE76" s="161"/>
      <c r="CG76" s="62"/>
      <c r="CH76" s="62"/>
      <c r="CI76" s="62"/>
      <c r="CJ76" s="62"/>
      <c r="CK76" s="62"/>
      <c r="CL76" s="62"/>
      <c r="CM76" s="62"/>
      <c r="CN76" s="62"/>
      <c r="CO76" s="62"/>
      <c r="CP76" s="62"/>
      <c r="CQ76" s="62"/>
      <c r="CR76" s="62"/>
      <c r="CS76" s="62"/>
      <c r="CT76" s="62"/>
    </row>
    <row r="77" spans="2:99" ht="24" hidden="1" thickBot="1" x14ac:dyDescent="0.3">
      <c r="G77" s="797"/>
      <c r="O77" s="794"/>
      <c r="U77" s="109"/>
      <c r="V77" s="109"/>
      <c r="W77" s="109"/>
      <c r="X77" s="109"/>
      <c r="Y77" s="109"/>
      <c r="Z77" s="109"/>
      <c r="AA77" s="109"/>
      <c r="AB77" s="109"/>
      <c r="AC77" s="109"/>
      <c r="AD77" s="109"/>
      <c r="AE77" s="109"/>
      <c r="AF77" s="109"/>
      <c r="AG77" s="109"/>
      <c r="AH77" s="109"/>
      <c r="AI77" s="109"/>
      <c r="AJ77" s="109"/>
      <c r="AK77" s="109"/>
      <c r="AL77" s="109"/>
      <c r="AM77" s="109"/>
      <c r="AN77" s="109"/>
      <c r="AO77" s="109"/>
      <c r="AP77" s="109"/>
      <c r="AR77" s="126"/>
      <c r="AS77" s="127"/>
      <c r="AT77" s="127"/>
      <c r="AU77" s="119"/>
      <c r="AV77" s="119"/>
      <c r="AW77" s="119"/>
      <c r="AX77" s="119"/>
      <c r="BC77" s="753"/>
      <c r="BD77" s="69"/>
      <c r="BE77" s="119"/>
      <c r="BF77" s="160"/>
      <c r="BG77" s="160"/>
      <c r="BH77" s="161"/>
      <c r="BI77" s="160"/>
      <c r="BJ77" s="160"/>
      <c r="BK77" s="160"/>
      <c r="BQ77" s="165">
        <v>2</v>
      </c>
      <c r="BR77" s="103" t="b">
        <f>IF(BS81=13,1)</f>
        <v>0</v>
      </c>
      <c r="BS77" s="169"/>
      <c r="BT77" s="107" t="b">
        <f>IF(BS81=13,3)</f>
        <v>0</v>
      </c>
      <c r="BU77" s="160"/>
      <c r="BV77" s="160"/>
      <c r="BW77" s="160"/>
      <c r="BX77" s="160"/>
      <c r="BY77" s="160"/>
      <c r="BZ77" s="160"/>
      <c r="CA77" s="160"/>
      <c r="CB77" s="160"/>
      <c r="CC77" s="160"/>
      <c r="CD77" s="160"/>
      <c r="CE77" s="161"/>
      <c r="CG77" s="62"/>
      <c r="CH77" s="62"/>
      <c r="CI77" s="62"/>
      <c r="CJ77" s="62"/>
      <c r="CK77" s="62"/>
      <c r="CL77" s="62"/>
      <c r="CM77" s="62"/>
      <c r="CN77" s="62"/>
      <c r="CO77" s="62"/>
      <c r="CP77" s="62"/>
      <c r="CQ77" s="62"/>
      <c r="CR77" s="62"/>
      <c r="CS77" s="62"/>
      <c r="CT77" s="62"/>
    </row>
    <row r="78" spans="2:99" ht="24" hidden="1" thickBot="1" x14ac:dyDescent="0.3">
      <c r="G78" s="797"/>
      <c r="O78" s="794"/>
      <c r="U78" s="109"/>
      <c r="V78" s="109"/>
      <c r="W78" s="109"/>
      <c r="X78" s="109"/>
      <c r="Y78" s="109"/>
      <c r="Z78" s="109"/>
      <c r="AA78" s="109"/>
      <c r="AB78" s="109"/>
      <c r="AC78" s="109"/>
      <c r="AD78" s="109"/>
      <c r="AE78" s="109"/>
      <c r="AF78" s="109"/>
      <c r="AG78" s="109"/>
      <c r="AH78" s="109"/>
      <c r="AI78" s="109"/>
      <c r="AJ78" s="109"/>
      <c r="AK78" s="109"/>
      <c r="AL78" s="109"/>
      <c r="AM78" s="109"/>
      <c r="AN78" s="109"/>
      <c r="AO78" s="109"/>
      <c r="AP78" s="109"/>
      <c r="AR78" s="126"/>
      <c r="AS78" s="127"/>
      <c r="AT78" s="127"/>
      <c r="AU78" s="119"/>
      <c r="AV78" s="119"/>
      <c r="AW78" s="119"/>
      <c r="AX78" s="119"/>
      <c r="BC78" s="753"/>
      <c r="BD78" s="69"/>
      <c r="BE78" s="119"/>
      <c r="BF78" s="160"/>
      <c r="BG78" s="160"/>
      <c r="BH78" s="161"/>
      <c r="BI78" s="160"/>
      <c r="BJ78" s="160"/>
      <c r="BK78" s="160"/>
      <c r="BL78" s="60"/>
      <c r="BM78" s="160"/>
      <c r="BQ78" s="160"/>
      <c r="BR78" s="160"/>
      <c r="BS78" s="160"/>
      <c r="BT78" s="160"/>
      <c r="BU78" s="160"/>
      <c r="BV78" s="160"/>
      <c r="BW78" s="160"/>
      <c r="BX78" s="160"/>
      <c r="BY78" s="160"/>
      <c r="BZ78" s="160"/>
      <c r="CA78" s="160"/>
      <c r="CB78" s="161"/>
      <c r="CC78" s="90"/>
      <c r="CD78" s="90"/>
      <c r="CE78" s="90"/>
      <c r="CG78" s="62"/>
      <c r="CH78" s="62"/>
      <c r="CI78" s="62"/>
      <c r="CJ78" s="62"/>
      <c r="CK78" s="62"/>
      <c r="CL78" s="62"/>
      <c r="CM78" s="62"/>
      <c r="CN78" s="62"/>
      <c r="CO78" s="62"/>
      <c r="CP78" s="62"/>
      <c r="CQ78" s="62"/>
      <c r="CR78" s="62"/>
      <c r="CS78" s="62"/>
      <c r="CT78" s="62"/>
    </row>
    <row r="79" spans="2:99" ht="44" thickBot="1" x14ac:dyDescent="0.3">
      <c r="G79" s="807"/>
      <c r="O79" s="794"/>
      <c r="U79" s="109"/>
      <c r="V79" s="109"/>
      <c r="W79" s="109"/>
      <c r="X79" s="109"/>
      <c r="Y79" s="109"/>
      <c r="Z79" s="109"/>
      <c r="AA79" s="109"/>
      <c r="AB79" s="109"/>
      <c r="AC79" s="109"/>
      <c r="AD79" s="109"/>
      <c r="AE79" s="109"/>
      <c r="AF79" s="109"/>
      <c r="AG79" s="109"/>
      <c r="AH79" s="109"/>
      <c r="AI79" s="109"/>
      <c r="AJ79" s="109"/>
      <c r="AK79" s="109"/>
      <c r="AL79" s="109"/>
      <c r="AM79" s="109"/>
      <c r="AN79" s="109"/>
      <c r="AO79" s="109"/>
      <c r="AP79" s="109"/>
      <c r="AR79" s="126"/>
      <c r="AT79" s="127"/>
      <c r="AU79" s="119"/>
      <c r="AV79" s="119"/>
      <c r="AW79" s="119"/>
      <c r="AX79" s="119"/>
      <c r="AY79" s="119"/>
      <c r="BA79" s="119"/>
      <c r="BB79" s="119"/>
      <c r="BC79" s="754"/>
      <c r="BD79" s="171"/>
      <c r="BE79" s="866" t="s">
        <v>112</v>
      </c>
      <c r="BF79" s="589" t="s">
        <v>110</v>
      </c>
      <c r="BG79" s="173"/>
      <c r="BH79" s="174"/>
      <c r="BI79" s="174"/>
      <c r="BJ79" s="174"/>
      <c r="BK79" s="174"/>
      <c r="BL79" s="174"/>
      <c r="BM79" s="174"/>
      <c r="BN79" s="174"/>
      <c r="BO79" s="174"/>
      <c r="BP79" s="174"/>
      <c r="BQ79" s="174"/>
      <c r="BR79" s="601">
        <f>SUM(BR63:BR78)</f>
        <v>1</v>
      </c>
      <c r="BS79" s="602">
        <f t="shared" ref="BS79:CH79" si="0">SUM(BS63:BS78)</f>
        <v>0</v>
      </c>
      <c r="BT79" s="602">
        <f t="shared" si="0"/>
        <v>0</v>
      </c>
      <c r="BU79" s="602">
        <f t="shared" si="0"/>
        <v>0</v>
      </c>
      <c r="BV79" s="602">
        <f t="shared" si="0"/>
        <v>0</v>
      </c>
      <c r="BW79" s="602">
        <f t="shared" si="0"/>
        <v>0</v>
      </c>
      <c r="BX79" s="602">
        <f t="shared" si="0"/>
        <v>0</v>
      </c>
      <c r="BY79" s="602">
        <f t="shared" si="0"/>
        <v>0</v>
      </c>
      <c r="BZ79" s="602">
        <f t="shared" si="0"/>
        <v>0</v>
      </c>
      <c r="CA79" s="602">
        <f t="shared" si="0"/>
        <v>0</v>
      </c>
      <c r="CB79" s="602">
        <f t="shared" si="0"/>
        <v>0</v>
      </c>
      <c r="CC79" s="602">
        <f t="shared" si="0"/>
        <v>0</v>
      </c>
      <c r="CD79" s="602">
        <f t="shared" si="0"/>
        <v>13</v>
      </c>
      <c r="CE79" s="602">
        <f t="shared" si="0"/>
        <v>0</v>
      </c>
      <c r="CF79" s="602">
        <f t="shared" si="0"/>
        <v>0</v>
      </c>
      <c r="CG79" s="602">
        <f t="shared" si="0"/>
        <v>0</v>
      </c>
      <c r="CH79" s="603">
        <f t="shared" si="0"/>
        <v>0</v>
      </c>
      <c r="CI79" s="174"/>
      <c r="CJ79" s="174"/>
      <c r="CK79" s="175"/>
      <c r="CL79" s="175"/>
      <c r="CM79" s="175"/>
      <c r="CN79" s="175"/>
      <c r="CO79" s="175"/>
      <c r="CP79" s="175"/>
      <c r="CQ79" s="176"/>
      <c r="CR79" s="72"/>
      <c r="CS79" s="62"/>
      <c r="CT79" s="62"/>
    </row>
    <row r="80" spans="2:99" ht="31" thickBot="1" x14ac:dyDescent="0.3">
      <c r="G80" s="797"/>
      <c r="O80" s="794"/>
      <c r="U80" s="109"/>
      <c r="V80" s="109"/>
      <c r="W80" s="109"/>
      <c r="X80" s="109"/>
      <c r="Y80" s="109"/>
      <c r="Z80" s="109"/>
      <c r="AA80" s="109"/>
      <c r="AB80" s="109"/>
      <c r="AC80" s="109"/>
      <c r="AD80" s="109"/>
      <c r="AE80" s="109"/>
      <c r="AF80" s="109"/>
      <c r="AG80" s="109"/>
      <c r="AH80" s="109"/>
      <c r="AI80" s="109"/>
      <c r="AJ80" s="109"/>
      <c r="AK80" s="109"/>
      <c r="AL80" s="109"/>
      <c r="AM80" s="109"/>
      <c r="AN80" s="109"/>
      <c r="AO80" s="109"/>
      <c r="AP80" s="109"/>
      <c r="AR80" s="126"/>
      <c r="AS80" s="127"/>
      <c r="AT80" s="127"/>
      <c r="AU80" s="119"/>
      <c r="AV80" s="119"/>
      <c r="AW80" s="119"/>
      <c r="AX80" s="119"/>
      <c r="AY80" s="119"/>
      <c r="AZ80" s="119"/>
      <c r="BA80" s="767">
        <v>4</v>
      </c>
      <c r="BB80" s="845"/>
      <c r="BC80" s="753" t="b">
        <f>AND(BE80&gt;=10,$AO$138&gt;=10,$AP$138&gt;=10)</f>
        <v>1</v>
      </c>
      <c r="BD80" s="67" t="str">
        <f>IF(BC80=TRUE,"O K","OVERLOAD")</f>
        <v>O K</v>
      </c>
      <c r="BE80" s="781">
        <f>+$E$8/(BG49/2)</f>
        <v>167.89087093389298</v>
      </c>
      <c r="BF80" s="177"/>
      <c r="BG80" s="90"/>
      <c r="BH80" s="91"/>
      <c r="BI80" s="90"/>
      <c r="BJ80" s="90"/>
      <c r="BK80" s="90"/>
      <c r="BL80" s="91"/>
      <c r="BM80" s="90"/>
      <c r="BN80" s="90"/>
      <c r="BO80" s="90"/>
      <c r="BP80" s="90"/>
      <c r="BQ80" s="90"/>
      <c r="BR80" s="90"/>
      <c r="BS80" s="90"/>
      <c r="BT80" s="90"/>
      <c r="BU80" s="90"/>
      <c r="BV80" s="90"/>
      <c r="BW80" s="90"/>
      <c r="BX80" s="90"/>
      <c r="BY80" s="90"/>
      <c r="BZ80" s="90"/>
      <c r="CA80" s="90"/>
      <c r="CB80" s="90"/>
      <c r="CC80" s="90"/>
      <c r="CD80" s="90"/>
      <c r="CE80" s="90"/>
      <c r="CF80" s="90"/>
      <c r="CG80" s="90"/>
      <c r="CH80" s="90"/>
      <c r="CI80" s="62"/>
      <c r="CJ80" s="62"/>
      <c r="CK80" s="62"/>
      <c r="CL80" s="62"/>
      <c r="CM80" s="62"/>
      <c r="CN80" s="62"/>
      <c r="CO80" s="62"/>
      <c r="CP80" s="62"/>
      <c r="CQ80" s="62"/>
      <c r="CR80" s="62"/>
      <c r="CS80" s="62"/>
      <c r="CT80" s="62"/>
    </row>
    <row r="81" spans="7:98" ht="23" hidden="1" x14ac:dyDescent="0.25">
      <c r="G81" s="797"/>
      <c r="O81" s="794"/>
      <c r="U81" s="109"/>
      <c r="V81" s="109"/>
      <c r="W81" s="109"/>
      <c r="X81" s="109"/>
      <c r="Y81" s="109"/>
      <c r="Z81" s="109"/>
      <c r="AA81" s="109"/>
      <c r="AB81" s="109"/>
      <c r="AC81" s="109"/>
      <c r="AD81" s="109"/>
      <c r="AE81" s="109"/>
      <c r="AF81" s="109"/>
      <c r="AG81" s="109"/>
      <c r="AH81" s="109"/>
      <c r="AI81" s="109"/>
      <c r="AJ81" s="109"/>
      <c r="AK81" s="109"/>
      <c r="AL81" s="109"/>
      <c r="AM81" s="109"/>
      <c r="AN81" s="109"/>
      <c r="AO81" s="109"/>
      <c r="AP81" s="109"/>
      <c r="AR81" s="126"/>
      <c r="AS81" s="127"/>
      <c r="AT81" s="127"/>
      <c r="AU81" s="119"/>
      <c r="AV81" s="119"/>
      <c r="AW81" s="119"/>
      <c r="AX81" s="119"/>
      <c r="AY81" s="119"/>
      <c r="AZ81" s="119"/>
      <c r="BA81" s="119"/>
      <c r="BB81" s="119"/>
      <c r="BC81" s="754"/>
      <c r="BD81" s="171"/>
      <c r="BE81" s="119"/>
      <c r="BF81" s="60"/>
      <c r="BG81" s="178" t="b">
        <f>+BA162</f>
        <v>0</v>
      </c>
      <c r="BH81" s="178" t="b">
        <f>+BA163</f>
        <v>0</v>
      </c>
      <c r="BI81" s="178" t="b">
        <f>+BA164</f>
        <v>0</v>
      </c>
      <c r="BJ81" s="178" t="b">
        <f>+BA165</f>
        <v>0</v>
      </c>
      <c r="BK81" s="178" t="b">
        <f>+BA166</f>
        <v>0</v>
      </c>
      <c r="BL81" s="178" t="b">
        <f>+BA167</f>
        <v>0</v>
      </c>
      <c r="BM81" s="178" t="b">
        <f>+BA168</f>
        <v>0</v>
      </c>
      <c r="BN81" s="178" t="b">
        <f>+BA169</f>
        <v>0</v>
      </c>
      <c r="BO81" s="178" t="b">
        <f>+BA170</f>
        <v>0</v>
      </c>
      <c r="BP81" s="178" t="b">
        <f>+BA171</f>
        <v>0</v>
      </c>
      <c r="BQ81" s="178" t="b">
        <f>+BA172</f>
        <v>0</v>
      </c>
      <c r="BR81" s="178" t="b">
        <f>+BA173</f>
        <v>0</v>
      </c>
      <c r="BS81" s="178" t="b">
        <f>+BA174</f>
        <v>0</v>
      </c>
      <c r="BT81" s="178" t="b">
        <f>+BA175</f>
        <v>0</v>
      </c>
      <c r="BU81" s="178" t="b">
        <f>+BA176</f>
        <v>0</v>
      </c>
      <c r="BV81" s="178" t="b">
        <f>+BA177</f>
        <v>0</v>
      </c>
      <c r="BW81" s="178" t="b">
        <f>+BA178</f>
        <v>0</v>
      </c>
      <c r="BX81" s="178">
        <f>+BA179</f>
        <v>18</v>
      </c>
      <c r="BY81" s="178" t="b">
        <f>+BA180</f>
        <v>0</v>
      </c>
      <c r="BZ81" s="178" t="b">
        <f>+BA181</f>
        <v>0</v>
      </c>
      <c r="CA81" s="178" t="b">
        <f>+BA182</f>
        <v>0</v>
      </c>
      <c r="CB81" s="178" t="b">
        <f>+BA183</f>
        <v>0</v>
      </c>
      <c r="CC81" s="178" t="b">
        <f>+BA184</f>
        <v>0</v>
      </c>
      <c r="CD81" s="178" t="b">
        <f>+BA185</f>
        <v>0</v>
      </c>
      <c r="CE81" s="178" t="b">
        <f>+BA186</f>
        <v>0</v>
      </c>
      <c r="CF81" s="178" t="b">
        <f>+BA187</f>
        <v>0</v>
      </c>
      <c r="CG81" s="178" t="b">
        <f>+BA188</f>
        <v>0</v>
      </c>
      <c r="CH81" s="178" t="b">
        <f>+BA189</f>
        <v>0</v>
      </c>
      <c r="CI81" s="178" t="b">
        <f>+BA190</f>
        <v>0</v>
      </c>
      <c r="CJ81" s="178" t="b">
        <f>+BA191</f>
        <v>0</v>
      </c>
      <c r="CK81" s="178" t="b">
        <f>+BA192</f>
        <v>0</v>
      </c>
      <c r="CL81" s="178" t="b">
        <f>+BA193</f>
        <v>0</v>
      </c>
      <c r="CM81" s="178" t="b">
        <f>+BA194</f>
        <v>0</v>
      </c>
      <c r="CN81" s="178" t="b">
        <f>+BA195</f>
        <v>0</v>
      </c>
      <c r="CO81" s="178" t="b">
        <f>+BA196</f>
        <v>0</v>
      </c>
      <c r="CP81" s="178" t="b">
        <f>+BA197</f>
        <v>0</v>
      </c>
      <c r="CQ81" s="178" t="b">
        <f>+BA198</f>
        <v>0</v>
      </c>
      <c r="CR81" s="179"/>
      <c r="CS81" s="62"/>
      <c r="CT81" s="62"/>
    </row>
    <row r="82" spans="7:98" ht="24" hidden="1" thickBot="1" x14ac:dyDescent="0.3">
      <c r="G82" s="797"/>
      <c r="O82" s="794"/>
      <c r="U82" s="109"/>
      <c r="V82" s="109"/>
      <c r="W82" s="109"/>
      <c r="X82" s="109"/>
      <c r="Y82" s="109"/>
      <c r="Z82" s="109"/>
      <c r="AA82" s="109"/>
      <c r="AB82" s="109"/>
      <c r="AC82" s="109"/>
      <c r="AD82" s="109"/>
      <c r="AE82" s="109"/>
      <c r="AF82" s="109"/>
      <c r="AG82" s="109"/>
      <c r="AH82" s="109"/>
      <c r="AI82" s="109"/>
      <c r="AJ82" s="109"/>
      <c r="AK82" s="109"/>
      <c r="AL82" s="109"/>
      <c r="AM82" s="109"/>
      <c r="AN82" s="109"/>
      <c r="AO82" s="109"/>
      <c r="AP82" s="109"/>
      <c r="AR82" s="126"/>
      <c r="AS82" s="127"/>
      <c r="AT82" s="127"/>
      <c r="AU82" s="119"/>
      <c r="AV82" s="119"/>
      <c r="AW82" s="119"/>
      <c r="AX82" s="119"/>
      <c r="AY82" s="119"/>
      <c r="AZ82" s="119"/>
      <c r="BA82" s="119"/>
      <c r="BB82" s="119"/>
      <c r="BC82" s="754"/>
      <c r="BD82" s="171"/>
      <c r="BE82" s="119"/>
      <c r="BF82" s="62"/>
      <c r="BG82" s="179" t="b">
        <f>+BG81</f>
        <v>0</v>
      </c>
      <c r="BH82" s="179" t="b">
        <f t="shared" ref="BH82:BY82" si="1">+BH81</f>
        <v>0</v>
      </c>
      <c r="BI82" s="179" t="b">
        <f>+BI81</f>
        <v>0</v>
      </c>
      <c r="BJ82" s="179" t="b">
        <f t="shared" si="1"/>
        <v>0</v>
      </c>
      <c r="BK82" s="179" t="b">
        <f t="shared" si="1"/>
        <v>0</v>
      </c>
      <c r="BL82" s="179" t="b">
        <f t="shared" si="1"/>
        <v>0</v>
      </c>
      <c r="BM82" s="179" t="b">
        <f>+BM81</f>
        <v>0</v>
      </c>
      <c r="BN82" s="179" t="b">
        <f t="shared" si="1"/>
        <v>0</v>
      </c>
      <c r="BO82" s="179" t="b">
        <f t="shared" si="1"/>
        <v>0</v>
      </c>
      <c r="BP82" s="179" t="b">
        <f t="shared" si="1"/>
        <v>0</v>
      </c>
      <c r="BQ82" s="179" t="b">
        <f t="shared" si="1"/>
        <v>0</v>
      </c>
      <c r="BR82" s="179" t="b">
        <f>+BR81</f>
        <v>0</v>
      </c>
      <c r="BS82" s="179" t="b">
        <f>+BS81</f>
        <v>0</v>
      </c>
      <c r="BT82" s="179" t="b">
        <f>+BT81</f>
        <v>0</v>
      </c>
      <c r="BU82" s="179" t="b">
        <f>+BU81</f>
        <v>0</v>
      </c>
      <c r="BV82" s="179" t="b">
        <f>+BV81</f>
        <v>0</v>
      </c>
      <c r="BW82" s="179" t="b">
        <f t="shared" si="1"/>
        <v>0</v>
      </c>
      <c r="BX82" s="179">
        <f t="shared" si="1"/>
        <v>18</v>
      </c>
      <c r="BY82" s="179" t="b">
        <f t="shared" si="1"/>
        <v>0</v>
      </c>
      <c r="BZ82" s="179" t="b">
        <f>+BZ81</f>
        <v>0</v>
      </c>
      <c r="CA82" s="179" t="b">
        <f>+CA81</f>
        <v>0</v>
      </c>
      <c r="CB82" s="179" t="b">
        <f t="shared" ref="CB82:CQ82" si="2">+CB81</f>
        <v>0</v>
      </c>
      <c r="CC82" s="179" t="b">
        <f t="shared" si="2"/>
        <v>0</v>
      </c>
      <c r="CD82" s="179" t="b">
        <f t="shared" si="2"/>
        <v>0</v>
      </c>
      <c r="CE82" s="179" t="b">
        <f t="shared" si="2"/>
        <v>0</v>
      </c>
      <c r="CF82" s="179" t="b">
        <f t="shared" si="2"/>
        <v>0</v>
      </c>
      <c r="CG82" s="179" t="b">
        <f t="shared" si="2"/>
        <v>0</v>
      </c>
      <c r="CH82" s="179" t="b">
        <f t="shared" si="2"/>
        <v>0</v>
      </c>
      <c r="CI82" s="179" t="b">
        <f t="shared" si="2"/>
        <v>0</v>
      </c>
      <c r="CJ82" s="179" t="b">
        <f t="shared" si="2"/>
        <v>0</v>
      </c>
      <c r="CK82" s="179" t="b">
        <f t="shared" si="2"/>
        <v>0</v>
      </c>
      <c r="CL82" s="179" t="b">
        <f t="shared" si="2"/>
        <v>0</v>
      </c>
      <c r="CM82" s="179" t="b">
        <f t="shared" si="2"/>
        <v>0</v>
      </c>
      <c r="CN82" s="179" t="b">
        <f t="shared" si="2"/>
        <v>0</v>
      </c>
      <c r="CO82" s="179" t="b">
        <f t="shared" si="2"/>
        <v>0</v>
      </c>
      <c r="CP82" s="179" t="b">
        <f t="shared" si="2"/>
        <v>0</v>
      </c>
      <c r="CQ82" s="179" t="b">
        <f t="shared" si="2"/>
        <v>0</v>
      </c>
      <c r="CR82" s="179"/>
      <c r="CS82" s="62"/>
      <c r="CT82" s="62"/>
    </row>
    <row r="83" spans="7:98" ht="10.5" customHeight="1" thickBot="1" x14ac:dyDescent="0.3">
      <c r="G83" s="797"/>
      <c r="K83" s="787">
        <v>5</v>
      </c>
      <c r="M83" s="787">
        <v>51</v>
      </c>
      <c r="O83" s="794"/>
      <c r="U83" s="109"/>
      <c r="V83" s="109"/>
      <c r="W83" s="109"/>
      <c r="X83" s="109"/>
      <c r="Y83" s="109"/>
      <c r="Z83" s="109"/>
      <c r="AA83" s="109"/>
      <c r="AB83" s="109"/>
      <c r="AC83" s="109"/>
      <c r="AD83" s="109"/>
      <c r="AE83" s="109"/>
      <c r="AF83" s="109"/>
      <c r="AG83" s="109"/>
      <c r="AH83" s="109"/>
      <c r="AI83" s="109"/>
      <c r="AJ83" s="109"/>
      <c r="AK83" s="109"/>
      <c r="AL83" s="109"/>
      <c r="AM83" s="109"/>
      <c r="AN83" s="109"/>
      <c r="AO83" s="109"/>
      <c r="AP83" s="109"/>
      <c r="AR83" s="126"/>
      <c r="AS83" s="127"/>
      <c r="AT83" s="127"/>
      <c r="AU83" s="119"/>
      <c r="AV83" s="119"/>
      <c r="AW83" s="119"/>
      <c r="AX83" s="119"/>
      <c r="AY83" s="119"/>
      <c r="AZ83" s="119"/>
      <c r="BA83" s="119"/>
      <c r="BB83" s="119"/>
      <c r="BC83" s="754"/>
      <c r="BD83" s="171"/>
      <c r="BE83" s="119"/>
      <c r="BF83" s="62"/>
      <c r="BG83" s="179"/>
      <c r="BH83" s="179"/>
      <c r="BI83" s="179"/>
      <c r="BJ83" s="179"/>
      <c r="BK83" s="179"/>
      <c r="BL83" s="179"/>
      <c r="BM83" s="179"/>
      <c r="BN83" s="179"/>
      <c r="BO83" s="179"/>
      <c r="BP83" s="179"/>
      <c r="BQ83" s="179"/>
      <c r="BR83" s="179"/>
      <c r="BS83" s="179"/>
      <c r="BT83" s="179"/>
      <c r="BU83" s="179"/>
      <c r="BV83" s="179"/>
      <c r="BW83" s="179"/>
      <c r="BX83" s="179"/>
      <c r="BY83" s="179"/>
      <c r="BZ83" s="179"/>
      <c r="CA83" s="179"/>
      <c r="CB83" s="179"/>
      <c r="CC83" s="179"/>
      <c r="CD83" s="179"/>
      <c r="CE83" s="179"/>
      <c r="CF83" s="179"/>
      <c r="CG83" s="179"/>
      <c r="CH83" s="179"/>
      <c r="CI83" s="179"/>
      <c r="CJ83" s="179"/>
      <c r="CK83" s="179"/>
      <c r="CL83" s="179"/>
      <c r="CM83" s="179"/>
      <c r="CN83" s="179"/>
      <c r="CO83" s="179"/>
      <c r="CP83" s="179"/>
      <c r="CQ83" s="179"/>
      <c r="CR83" s="179"/>
      <c r="CS83" s="62"/>
      <c r="CT83" s="62"/>
    </row>
    <row r="84" spans="7:98" ht="54" customHeight="1" thickBot="1" x14ac:dyDescent="0.3">
      <c r="G84" s="797"/>
      <c r="K84" s="768" t="s">
        <v>181</v>
      </c>
      <c r="L84" s="768" t="s">
        <v>183</v>
      </c>
      <c r="M84" s="768" t="s">
        <v>182</v>
      </c>
      <c r="O84" s="794"/>
      <c r="U84" s="109"/>
      <c r="V84" s="109"/>
      <c r="W84" s="109"/>
      <c r="X84" s="109"/>
      <c r="Y84" s="109"/>
      <c r="Z84" s="109"/>
      <c r="AA84" s="109"/>
      <c r="AB84" s="109"/>
      <c r="AC84" s="109"/>
      <c r="AD84" s="109"/>
      <c r="AE84" s="109"/>
      <c r="AF84" s="109"/>
      <c r="AG84" s="109"/>
      <c r="AH84" s="109"/>
      <c r="AI84" s="109"/>
      <c r="AJ84" s="109"/>
      <c r="AK84" s="109"/>
      <c r="AL84" s="109"/>
      <c r="AM84" s="109"/>
      <c r="AN84" s="109"/>
      <c r="AO84" s="109"/>
      <c r="AP84" s="109"/>
      <c r="AR84" s="126"/>
      <c r="AT84" s="127"/>
      <c r="AU84" s="119"/>
      <c r="AV84" s="119"/>
      <c r="AW84" s="119"/>
      <c r="AX84" s="119"/>
      <c r="AY84" s="119"/>
      <c r="AZ84" s="119"/>
      <c r="BA84" s="119"/>
      <c r="BB84" s="119"/>
      <c r="BD84" s="171"/>
      <c r="BE84" s="866" t="s">
        <v>112</v>
      </c>
      <c r="BF84" s="180" t="s">
        <v>113</v>
      </c>
      <c r="BG84" s="591" t="str">
        <f>IF(BG82=1,17,"")</f>
        <v/>
      </c>
      <c r="BH84" s="592" t="str">
        <f>IF(BH82=2,16,"")</f>
        <v/>
      </c>
      <c r="BI84" s="592" t="str">
        <f>IF(BI82=3,15,"")</f>
        <v/>
      </c>
      <c r="BJ84" s="592" t="str">
        <f>IF(BJ82=4,14,"")</f>
        <v/>
      </c>
      <c r="BK84" s="592" t="str">
        <f>IF(BK82=5,13,"")</f>
        <v/>
      </c>
      <c r="BL84" s="592" t="str">
        <f>IF(BL82=6,12,"")</f>
        <v/>
      </c>
      <c r="BM84" s="592" t="str">
        <f>IF(BM82=7,11,"")</f>
        <v/>
      </c>
      <c r="BN84" s="592" t="str">
        <f>IF(BN82=8,10,"")</f>
        <v/>
      </c>
      <c r="BO84" s="592" t="str">
        <f>IF(BO82=9,9,"")</f>
        <v/>
      </c>
      <c r="BP84" s="592" t="str">
        <f>IF(BP82=10,8,"")</f>
        <v/>
      </c>
      <c r="BQ84" s="592" t="str">
        <f>IF(BQ82=11,7,"")</f>
        <v/>
      </c>
      <c r="BR84" s="733" t="str">
        <f>IF(BR82=12,1,"")</f>
        <v/>
      </c>
      <c r="BS84" s="590" t="str">
        <f>IF(BS82=13,2,"")</f>
        <v/>
      </c>
      <c r="BT84" s="590" t="str">
        <f>IF(BT82=14,3,"")</f>
        <v/>
      </c>
      <c r="BU84" s="590" t="str">
        <f>IF(BU82=15,4,"")</f>
        <v/>
      </c>
      <c r="BV84" s="590" t="str">
        <f>IF(BV82=16,5,"")</f>
        <v/>
      </c>
      <c r="BW84" s="590" t="str">
        <f>IF(BW82=17,6,"")</f>
        <v/>
      </c>
      <c r="BX84" s="590">
        <f>IF(BX82=18,7,"")</f>
        <v>7</v>
      </c>
      <c r="BY84" s="590" t="str">
        <f>IF(BY82=19,8,"")</f>
        <v/>
      </c>
      <c r="BZ84" s="590" t="str">
        <f>IF(BZ82=20,9,"")</f>
        <v/>
      </c>
      <c r="CA84" s="590" t="str">
        <f>IF(CA82=21,10,"")</f>
        <v/>
      </c>
      <c r="CB84" s="590" t="str">
        <f>IF(CB82=22,11,"")</f>
        <v/>
      </c>
      <c r="CC84" s="590" t="str">
        <f>IF(CC82=23,12,"")</f>
        <v/>
      </c>
      <c r="CD84" s="590" t="str">
        <f>IF(CD82=24,13,"")</f>
        <v/>
      </c>
      <c r="CE84" s="590" t="str">
        <f>IF(CE82=25,14,"")</f>
        <v/>
      </c>
      <c r="CF84" s="590" t="str">
        <f>IF(CF82=26,15,"")</f>
        <v/>
      </c>
      <c r="CG84" s="590" t="str">
        <f>IF(CG82=27,16,"")</f>
        <v/>
      </c>
      <c r="CH84" s="734" t="str">
        <f>IF(CH82=28,17,"")</f>
        <v/>
      </c>
      <c r="CI84" s="599" t="str">
        <f>IF(CI82=29,9,"")</f>
        <v/>
      </c>
      <c r="CJ84" s="599" t="str">
        <f>IF(CJ82=30,10,"")</f>
        <v/>
      </c>
      <c r="CK84" s="599" t="str">
        <f>IF(CK82=31,11,"")</f>
        <v/>
      </c>
      <c r="CL84" s="599" t="str">
        <f>IF(CL82=32,12,"")</f>
        <v/>
      </c>
      <c r="CM84" s="599" t="str">
        <f>IF(CM82=33,13,"")</f>
        <v/>
      </c>
      <c r="CN84" s="599" t="str">
        <f>IF(CN82=34,14,"")</f>
        <v/>
      </c>
      <c r="CO84" s="599" t="str">
        <f>IF(CO82=35,15,"")</f>
        <v/>
      </c>
      <c r="CP84" s="599" t="str">
        <f>IF(CP82=36,16,"")</f>
        <v/>
      </c>
      <c r="CQ84" s="600" t="str">
        <f>IF(CQ82=37,17,"")</f>
        <v/>
      </c>
      <c r="CR84" s="181"/>
      <c r="CS84" s="62"/>
      <c r="CT84" s="62"/>
    </row>
    <row r="85" spans="7:98" ht="49.5" customHeight="1" thickBot="1" x14ac:dyDescent="0.3">
      <c r="G85" s="797"/>
      <c r="J85" s="832" t="s">
        <v>209</v>
      </c>
      <c r="K85" s="778">
        <f>+MIN(J19:K20)</f>
        <v>83.945435466946492</v>
      </c>
      <c r="L85" s="780">
        <f>+$E$8/(BG49)</f>
        <v>83.945435466946492</v>
      </c>
      <c r="M85" s="780">
        <f>+MIN(K25:L26)</f>
        <v>83.945435466946492</v>
      </c>
      <c r="O85" s="794"/>
      <c r="U85" s="109"/>
      <c r="V85" s="109"/>
      <c r="W85" s="109"/>
      <c r="X85" s="109"/>
      <c r="Y85" s="109"/>
      <c r="Z85" s="109"/>
      <c r="AA85" s="109"/>
      <c r="AB85" s="109"/>
      <c r="AC85" s="109"/>
      <c r="AD85" s="109"/>
      <c r="AE85" s="109"/>
      <c r="AF85" s="109"/>
      <c r="AG85" s="109"/>
      <c r="AH85" s="109"/>
      <c r="AI85" s="109"/>
      <c r="AJ85" s="109"/>
      <c r="AK85" s="109"/>
      <c r="AL85" s="109"/>
      <c r="AM85" s="109"/>
      <c r="AN85" s="109"/>
      <c r="AO85" s="109"/>
      <c r="AP85" s="109"/>
      <c r="AR85" s="126"/>
      <c r="AT85" s="127"/>
      <c r="AU85" s="119"/>
      <c r="AV85" s="119"/>
      <c r="AW85" s="119"/>
      <c r="AX85" s="119"/>
      <c r="AY85" s="119"/>
      <c r="AZ85" s="119"/>
      <c r="BA85" s="767">
        <v>5</v>
      </c>
      <c r="BB85" s="765"/>
      <c r="BC85" s="753" t="b">
        <f>AND(BE85&gt;=10,$AO$138&gt;=10,$AP$138&gt;=10)</f>
        <v>1</v>
      </c>
      <c r="BD85" s="67" t="str">
        <f>IF(BC85=TRUE,"O K","OVERLOAD")</f>
        <v>O K</v>
      </c>
      <c r="BE85" s="781">
        <f>IF(SUM(BG84:BQ84)&gt;0,K85,0)+IF(SUM(BR84:CH84)&gt;0,L85,0)+IF(SUM(CI84:CQ84)&gt;0,M85,0)</f>
        <v>83.945435466946492</v>
      </c>
      <c r="BF85" s="631" t="s">
        <v>139</v>
      </c>
      <c r="BG85" s="632">
        <v>-10</v>
      </c>
      <c r="BH85" s="632">
        <v>-9</v>
      </c>
      <c r="BI85" s="632">
        <v>-8</v>
      </c>
      <c r="BJ85" s="632">
        <v>-7</v>
      </c>
      <c r="BK85" s="632">
        <v>-6</v>
      </c>
      <c r="BL85" s="632">
        <v>-5</v>
      </c>
      <c r="BM85" s="632">
        <v>-4</v>
      </c>
      <c r="BN85" s="632">
        <v>-3</v>
      </c>
      <c r="BO85" s="632">
        <v>-2</v>
      </c>
      <c r="BP85" s="632">
        <v>-1</v>
      </c>
      <c r="BQ85" s="632">
        <v>0</v>
      </c>
      <c r="BR85" s="632">
        <v>1</v>
      </c>
      <c r="BS85" s="632">
        <v>2</v>
      </c>
      <c r="BT85" s="632">
        <v>3</v>
      </c>
      <c r="BU85" s="632">
        <v>4</v>
      </c>
      <c r="BV85" s="632">
        <v>5</v>
      </c>
      <c r="BW85" s="632">
        <v>6</v>
      </c>
      <c r="BX85" s="632">
        <v>7</v>
      </c>
      <c r="BY85" s="632">
        <v>8</v>
      </c>
      <c r="BZ85" s="632">
        <v>9</v>
      </c>
      <c r="CA85" s="633">
        <v>10</v>
      </c>
      <c r="CB85" s="632">
        <v>11</v>
      </c>
      <c r="CC85" s="632">
        <v>12</v>
      </c>
      <c r="CD85" s="632">
        <v>13</v>
      </c>
      <c r="CE85" s="632">
        <v>14</v>
      </c>
      <c r="CF85" s="632">
        <v>15</v>
      </c>
      <c r="CG85" s="632">
        <v>16</v>
      </c>
      <c r="CH85" s="632">
        <v>17</v>
      </c>
      <c r="CI85" s="632">
        <v>18</v>
      </c>
      <c r="CJ85" s="632">
        <v>19</v>
      </c>
      <c r="CK85" s="632">
        <v>20</v>
      </c>
      <c r="CL85" s="632">
        <v>21</v>
      </c>
      <c r="CM85" s="632">
        <v>22</v>
      </c>
      <c r="CN85" s="632">
        <v>23</v>
      </c>
      <c r="CO85" s="632">
        <v>24</v>
      </c>
      <c r="CP85" s="632">
        <v>25</v>
      </c>
      <c r="CQ85" s="634">
        <v>26</v>
      </c>
      <c r="CR85" s="62"/>
      <c r="CS85" s="62"/>
      <c r="CT85" s="62"/>
    </row>
    <row r="86" spans="7:98" ht="24" hidden="1" thickBot="1" x14ac:dyDescent="0.3">
      <c r="G86" s="797"/>
      <c r="I86" s="783">
        <v>6</v>
      </c>
      <c r="J86" s="783">
        <v>61</v>
      </c>
      <c r="K86" s="783">
        <v>62</v>
      </c>
      <c r="L86" s="783">
        <v>63</v>
      </c>
      <c r="M86" s="787">
        <v>64</v>
      </c>
      <c r="O86" s="794"/>
      <c r="U86" s="109"/>
      <c r="V86" s="109"/>
      <c r="W86" s="109"/>
      <c r="X86" s="109"/>
      <c r="Y86" s="109"/>
      <c r="Z86" s="109"/>
      <c r="AA86" s="109"/>
      <c r="AB86" s="109"/>
      <c r="AC86" s="109"/>
      <c r="AD86" s="109"/>
      <c r="AE86" s="109"/>
      <c r="AF86" s="109"/>
      <c r="AG86" s="109"/>
      <c r="AH86" s="109"/>
      <c r="AI86" s="109"/>
      <c r="AJ86" s="109"/>
      <c r="AK86" s="109"/>
      <c r="AL86" s="109"/>
      <c r="AM86" s="109"/>
      <c r="AN86" s="109"/>
      <c r="AO86" s="109"/>
      <c r="AP86" s="109"/>
      <c r="AR86" s="126"/>
      <c r="AS86" s="127"/>
      <c r="AT86" s="127"/>
      <c r="AU86" s="119"/>
      <c r="AV86" s="119"/>
      <c r="AW86" s="119"/>
      <c r="AX86" s="119"/>
      <c r="AY86" s="119"/>
      <c r="AZ86" s="119"/>
      <c r="BA86" s="119"/>
      <c r="BB86" s="119"/>
      <c r="BC86" s="754"/>
      <c r="BD86" s="119"/>
      <c r="BF86" s="62"/>
      <c r="BG86" s="182">
        <v>1</v>
      </c>
      <c r="BH86" s="182">
        <v>2</v>
      </c>
      <c r="BI86" s="182">
        <v>3</v>
      </c>
      <c r="BJ86" s="182">
        <v>4</v>
      </c>
      <c r="BK86" s="182">
        <v>5</v>
      </c>
      <c r="BL86" s="182">
        <v>6</v>
      </c>
      <c r="BM86" s="182">
        <v>7</v>
      </c>
      <c r="BN86" s="182">
        <v>8</v>
      </c>
      <c r="BO86" s="182">
        <v>9</v>
      </c>
      <c r="BP86" s="182">
        <v>10</v>
      </c>
      <c r="BQ86" s="182">
        <v>11</v>
      </c>
      <c r="BR86" s="182">
        <v>12</v>
      </c>
      <c r="BS86" s="182">
        <v>13</v>
      </c>
      <c r="BT86" s="182">
        <v>14</v>
      </c>
      <c r="BU86" s="182">
        <v>15</v>
      </c>
      <c r="BV86" s="182">
        <v>16</v>
      </c>
      <c r="BW86" s="182">
        <v>17</v>
      </c>
      <c r="BX86" s="182">
        <v>18</v>
      </c>
      <c r="BY86" s="182">
        <v>19</v>
      </c>
      <c r="BZ86" s="182">
        <v>20</v>
      </c>
      <c r="CA86" s="182">
        <v>21</v>
      </c>
      <c r="CB86" s="182">
        <v>22</v>
      </c>
      <c r="CC86" s="182">
        <v>23</v>
      </c>
      <c r="CD86" s="182">
        <v>24</v>
      </c>
      <c r="CE86" s="182">
        <v>25</v>
      </c>
      <c r="CF86" s="182">
        <v>26</v>
      </c>
      <c r="CG86" s="182">
        <v>27</v>
      </c>
      <c r="CH86" s="182">
        <v>28</v>
      </c>
      <c r="CI86" s="182">
        <v>29</v>
      </c>
      <c r="CJ86" s="182">
        <v>30</v>
      </c>
      <c r="CK86" s="182">
        <v>31</v>
      </c>
      <c r="CL86" s="182">
        <v>32</v>
      </c>
      <c r="CM86" s="182">
        <v>33</v>
      </c>
      <c r="CN86" s="182">
        <v>34</v>
      </c>
      <c r="CO86" s="182">
        <v>35</v>
      </c>
      <c r="CP86" s="182">
        <v>36</v>
      </c>
      <c r="CQ86" s="182">
        <v>37</v>
      </c>
      <c r="CR86" s="182"/>
      <c r="CS86" s="62"/>
      <c r="CT86" s="62"/>
    </row>
    <row r="87" spans="7:98" ht="24" hidden="1" thickBot="1" x14ac:dyDescent="0.3">
      <c r="G87" s="797"/>
      <c r="O87" s="794"/>
      <c r="BC87" s="753"/>
      <c r="BD87" s="69"/>
      <c r="BE87" s="11"/>
      <c r="BF87" s="79"/>
      <c r="BG87" s="80"/>
      <c r="BH87" s="80"/>
      <c r="BI87" s="80"/>
      <c r="BJ87" s="80"/>
      <c r="BK87" s="80"/>
      <c r="BL87" s="80"/>
      <c r="BM87" s="80"/>
      <c r="BN87" s="80"/>
      <c r="BO87" s="77"/>
      <c r="BP87" s="77"/>
      <c r="BQ87" s="72"/>
      <c r="BR87" s="72"/>
      <c r="BS87" s="72"/>
      <c r="BT87" s="72"/>
      <c r="BU87" s="72"/>
      <c r="BV87" s="72"/>
      <c r="BW87" s="72"/>
      <c r="BX87" s="72"/>
      <c r="BY87" s="72"/>
      <c r="BZ87" s="72"/>
      <c r="CA87" s="72"/>
      <c r="CB87" s="72"/>
      <c r="CC87" s="72"/>
      <c r="CD87" s="26"/>
      <c r="CE87" s="78"/>
      <c r="CF87" s="78"/>
      <c r="CG87" s="78"/>
      <c r="CH87" s="78"/>
      <c r="CI87" s="75"/>
      <c r="CJ87" s="75"/>
      <c r="CK87" s="75"/>
      <c r="CL87" s="75"/>
      <c r="CM87" s="75"/>
      <c r="CN87" s="75"/>
      <c r="CO87" s="75"/>
      <c r="CP87" s="75"/>
      <c r="CQ87" s="75"/>
      <c r="CR87" s="75"/>
      <c r="CS87" s="10"/>
      <c r="CT87" s="62"/>
    </row>
    <row r="88" spans="7:98" ht="24" hidden="1" thickBot="1" x14ac:dyDescent="0.3">
      <c r="G88" s="797"/>
      <c r="O88" s="794"/>
      <c r="BC88" s="753"/>
      <c r="BD88" s="69"/>
      <c r="BE88" s="11"/>
      <c r="BF88" s="79">
        <v>36</v>
      </c>
      <c r="BG88" s="80"/>
      <c r="BH88" s="80"/>
      <c r="BI88" s="80"/>
      <c r="BJ88" s="80"/>
      <c r="BK88" s="80"/>
      <c r="BL88" s="80"/>
      <c r="BM88" s="80"/>
      <c r="BN88" s="80"/>
      <c r="BO88" s="77"/>
      <c r="BP88" s="77"/>
      <c r="BQ88" s="72"/>
      <c r="BR88" s="72"/>
      <c r="BS88" s="72"/>
      <c r="BT88" s="72"/>
      <c r="BU88" s="72"/>
      <c r="BV88" s="72"/>
      <c r="BW88" s="72"/>
      <c r="BX88" s="81"/>
      <c r="BY88" s="82"/>
      <c r="BZ88" s="83"/>
      <c r="CA88" s="72"/>
      <c r="CB88" s="72"/>
      <c r="CC88" s="72"/>
      <c r="CD88" s="26"/>
      <c r="CE88" s="78"/>
      <c r="CF88" s="78"/>
      <c r="CG88" s="78"/>
      <c r="CH88" s="78"/>
      <c r="CI88" s="75"/>
      <c r="CJ88" s="75"/>
      <c r="CK88" s="75"/>
      <c r="CL88" s="75"/>
      <c r="CM88" s="75"/>
      <c r="CN88" s="75"/>
      <c r="CO88" s="84" t="b">
        <f>IF(CP81=36,35)</f>
        <v>0</v>
      </c>
      <c r="CP88" s="85"/>
      <c r="CQ88" s="86" t="b">
        <f>IF(CP81=36,37)</f>
        <v>0</v>
      </c>
      <c r="CR88" s="75"/>
      <c r="CS88" s="10"/>
      <c r="CT88" s="62"/>
    </row>
    <row r="89" spans="7:98" ht="24" hidden="1" thickBot="1" x14ac:dyDescent="0.3">
      <c r="G89" s="797"/>
      <c r="O89" s="794"/>
      <c r="BC89" s="753"/>
      <c r="BD89" s="69"/>
      <c r="BE89" s="11"/>
      <c r="BF89" s="79">
        <v>35</v>
      </c>
      <c r="BG89" s="80"/>
      <c r="BH89" s="80"/>
      <c r="BI89" s="80"/>
      <c r="BJ89" s="80"/>
      <c r="BK89" s="80"/>
      <c r="BL89" s="80"/>
      <c r="BM89" s="80"/>
      <c r="BN89" s="80"/>
      <c r="BO89" s="77"/>
      <c r="BP89" s="77"/>
      <c r="BQ89" s="72"/>
      <c r="BR89" s="72"/>
      <c r="BS89" s="72"/>
      <c r="BT89" s="72"/>
      <c r="BU89" s="72"/>
      <c r="BV89" s="72"/>
      <c r="BW89" s="72"/>
      <c r="BX89" s="87"/>
      <c r="BY89" s="72"/>
      <c r="BZ89" s="88"/>
      <c r="CA89" s="72"/>
      <c r="CB89" s="72"/>
      <c r="CC89" s="72"/>
      <c r="CD89" s="26"/>
      <c r="CE89" s="78"/>
      <c r="CF89" s="78"/>
      <c r="CG89" s="78"/>
      <c r="CH89" s="78"/>
      <c r="CI89" s="75"/>
      <c r="CJ89" s="75"/>
      <c r="CK89" s="75"/>
      <c r="CL89" s="75"/>
      <c r="CM89" s="84" t="b">
        <f>IF(CO81=35,33)</f>
        <v>0</v>
      </c>
      <c r="CN89" s="85"/>
      <c r="CO89" s="85"/>
      <c r="CP89" s="85"/>
      <c r="CQ89" s="86" t="b">
        <f>IF(CO81=35,37)</f>
        <v>0</v>
      </c>
      <c r="CR89" s="75"/>
      <c r="CS89" s="10"/>
      <c r="CT89" s="62"/>
    </row>
    <row r="90" spans="7:98" ht="24" hidden="1" thickBot="1" x14ac:dyDescent="0.3">
      <c r="G90" s="797"/>
      <c r="O90" s="794"/>
      <c r="BC90" s="753"/>
      <c r="BD90" s="69"/>
      <c r="BE90" s="11"/>
      <c r="BF90" s="79">
        <v>34</v>
      </c>
      <c r="BG90" s="80"/>
      <c r="BH90" s="80"/>
      <c r="BI90" s="80"/>
      <c r="BJ90" s="80"/>
      <c r="BK90" s="80"/>
      <c r="BL90" s="80"/>
      <c r="BM90" s="80"/>
      <c r="BN90" s="80"/>
      <c r="BO90" s="77"/>
      <c r="BP90" s="77"/>
      <c r="BQ90" s="72"/>
      <c r="BR90" s="72"/>
      <c r="BS90" s="72"/>
      <c r="BT90" s="72"/>
      <c r="BU90" s="72"/>
      <c r="BV90" s="72"/>
      <c r="BW90" s="72"/>
      <c r="BX90" s="87"/>
      <c r="BY90" s="72"/>
      <c r="BZ90" s="88"/>
      <c r="CA90" s="72"/>
      <c r="CB90" s="72"/>
      <c r="CC90" s="72"/>
      <c r="CD90" s="26"/>
      <c r="CE90" s="78"/>
      <c r="CF90" s="78"/>
      <c r="CG90" s="78"/>
      <c r="CH90" s="78"/>
      <c r="CI90" s="75"/>
      <c r="CJ90" s="75"/>
      <c r="CK90" s="84" t="b">
        <f>IF(CN81=34,31)</f>
        <v>0</v>
      </c>
      <c r="CL90" s="85"/>
      <c r="CM90" s="85"/>
      <c r="CN90" s="85"/>
      <c r="CO90" s="85"/>
      <c r="CP90" s="85"/>
      <c r="CQ90" s="86" t="b">
        <f>IF(CN81=34,37)</f>
        <v>0</v>
      </c>
      <c r="CR90" s="75"/>
      <c r="CS90" s="10"/>
      <c r="CT90" s="62"/>
    </row>
    <row r="91" spans="7:98" ht="24" hidden="1" thickBot="1" x14ac:dyDescent="0.3">
      <c r="G91" s="797"/>
      <c r="O91" s="794"/>
      <c r="BC91" s="753"/>
      <c r="BD91" s="69"/>
      <c r="BE91" s="11"/>
      <c r="BF91" s="79">
        <v>33</v>
      </c>
      <c r="BG91" s="80"/>
      <c r="BH91" s="80"/>
      <c r="BI91" s="80"/>
      <c r="BJ91" s="80"/>
      <c r="BK91" s="80"/>
      <c r="BL91" s="80"/>
      <c r="BM91" s="80"/>
      <c r="BN91" s="80"/>
      <c r="BO91" s="77"/>
      <c r="BP91" s="77"/>
      <c r="BQ91" s="72"/>
      <c r="BR91" s="72"/>
      <c r="BS91" s="72"/>
      <c r="BT91" s="72"/>
      <c r="BU91" s="72"/>
      <c r="BV91" s="72"/>
      <c r="BW91" s="72"/>
      <c r="BX91" s="87"/>
      <c r="BY91" s="72"/>
      <c r="BZ91" s="88"/>
      <c r="CA91" s="72"/>
      <c r="CB91" s="72"/>
      <c r="CC91" s="72"/>
      <c r="CD91" s="26"/>
      <c r="CE91" s="78"/>
      <c r="CF91" s="78"/>
      <c r="CG91" s="78"/>
      <c r="CH91" s="78"/>
      <c r="CI91" s="84" t="b">
        <f>IF(CM81=33,29)</f>
        <v>0</v>
      </c>
      <c r="CJ91" s="85"/>
      <c r="CK91" s="85"/>
      <c r="CL91" s="85"/>
      <c r="CM91" s="85"/>
      <c r="CN91" s="85"/>
      <c r="CO91" s="85"/>
      <c r="CP91" s="85"/>
      <c r="CQ91" s="86" t="b">
        <f>IF(CM81=33,37)</f>
        <v>0</v>
      </c>
      <c r="CR91" s="75"/>
      <c r="CS91" s="10"/>
      <c r="CT91" s="62"/>
    </row>
    <row r="92" spans="7:98" ht="24" hidden="1" thickBot="1" x14ac:dyDescent="0.3">
      <c r="G92" s="797"/>
      <c r="O92" s="794"/>
      <c r="AS92" s="89"/>
      <c r="AT92" s="89"/>
      <c r="BC92" s="753"/>
      <c r="BD92" s="69"/>
      <c r="BF92" s="79">
        <v>32</v>
      </c>
      <c r="BG92" s="90"/>
      <c r="BH92" s="90"/>
      <c r="BI92" s="90"/>
      <c r="BJ92" s="90"/>
      <c r="BK92" s="90"/>
      <c r="BL92" s="91"/>
      <c r="BM92" s="90"/>
      <c r="BN92" s="90"/>
      <c r="BO92" s="90"/>
      <c r="BP92" s="90"/>
      <c r="BQ92" s="90"/>
      <c r="BR92" s="90"/>
      <c r="BS92" s="90"/>
      <c r="BT92" s="90"/>
      <c r="BU92" s="90"/>
      <c r="BV92" s="90"/>
      <c r="BW92" s="90"/>
      <c r="BX92" s="92"/>
      <c r="BY92" s="90"/>
      <c r="BZ92" s="93"/>
      <c r="CA92" s="90"/>
      <c r="CB92" s="90"/>
      <c r="CC92" s="90"/>
      <c r="CD92" s="91"/>
      <c r="CE92" s="62"/>
      <c r="CF92" s="62"/>
      <c r="CG92" s="84" t="b">
        <f>IF(CL81=32,27)</f>
        <v>0</v>
      </c>
      <c r="CH92" s="94"/>
      <c r="CI92" s="94"/>
      <c r="CJ92" s="94"/>
      <c r="CK92" s="94"/>
      <c r="CL92" s="94"/>
      <c r="CM92" s="94"/>
      <c r="CN92" s="94"/>
      <c r="CO92" s="94"/>
      <c r="CP92" s="94"/>
      <c r="CQ92" s="86" t="b">
        <f>IF(CL81=32,37)</f>
        <v>0</v>
      </c>
      <c r="CR92" s="62"/>
      <c r="CS92" s="62"/>
      <c r="CT92" s="62"/>
    </row>
    <row r="93" spans="7:98" ht="24" hidden="1" thickBot="1" x14ac:dyDescent="0.3">
      <c r="G93" s="797"/>
      <c r="O93" s="794"/>
      <c r="AS93" s="89"/>
      <c r="AT93" s="89"/>
      <c r="BC93" s="753"/>
      <c r="BD93" s="69"/>
      <c r="BF93" s="79">
        <v>31</v>
      </c>
      <c r="BG93" s="90"/>
      <c r="BH93" s="90"/>
      <c r="BI93" s="90"/>
      <c r="BJ93" s="90"/>
      <c r="BK93" s="90"/>
      <c r="BL93" s="91"/>
      <c r="BM93" s="90"/>
      <c r="BN93" s="90"/>
      <c r="BO93" s="90"/>
      <c r="BP93" s="90"/>
      <c r="BQ93" s="90"/>
      <c r="BR93" s="90"/>
      <c r="BS93" s="90"/>
      <c r="BT93" s="90"/>
      <c r="BU93" s="90"/>
      <c r="BV93" s="90"/>
      <c r="BW93" s="90"/>
      <c r="BX93" s="92"/>
      <c r="BY93" s="90"/>
      <c r="BZ93" s="93"/>
      <c r="CA93" s="90"/>
      <c r="CB93" s="90"/>
      <c r="CC93" s="90"/>
      <c r="CD93" s="91"/>
      <c r="CE93" s="84" t="b">
        <f>IF(CK81=31,25)</f>
        <v>0</v>
      </c>
      <c r="CF93" s="94"/>
      <c r="CG93" s="94"/>
      <c r="CH93" s="94"/>
      <c r="CI93" s="94"/>
      <c r="CJ93" s="94"/>
      <c r="CK93" s="94"/>
      <c r="CL93" s="94"/>
      <c r="CM93" s="94"/>
      <c r="CN93" s="94"/>
      <c r="CO93" s="94"/>
      <c r="CP93" s="94"/>
      <c r="CQ93" s="86" t="b">
        <f>IF(CK81=31,37)</f>
        <v>0</v>
      </c>
      <c r="CR93" s="62"/>
      <c r="CS93" s="62"/>
      <c r="CT93" s="62"/>
    </row>
    <row r="94" spans="7:98" ht="24" hidden="1" thickBot="1" x14ac:dyDescent="0.3">
      <c r="G94" s="797"/>
      <c r="O94" s="794"/>
      <c r="AS94" s="89"/>
      <c r="AT94" s="89"/>
      <c r="BC94" s="753"/>
      <c r="BD94" s="69"/>
      <c r="BF94" s="79">
        <v>30</v>
      </c>
      <c r="BG94" s="90"/>
      <c r="BH94" s="90"/>
      <c r="BI94" s="90"/>
      <c r="BJ94" s="90"/>
      <c r="BK94" s="90"/>
      <c r="BL94" s="91"/>
      <c r="BM94" s="90"/>
      <c r="BN94" s="90"/>
      <c r="BO94" s="90"/>
      <c r="BP94" s="90"/>
      <c r="BQ94" s="90"/>
      <c r="BR94" s="90"/>
      <c r="BS94" s="90"/>
      <c r="BT94" s="90"/>
      <c r="BU94" s="90"/>
      <c r="BV94" s="90"/>
      <c r="BW94" s="90"/>
      <c r="BX94" s="92"/>
      <c r="BY94" s="90"/>
      <c r="BZ94" s="93"/>
      <c r="CA94" s="90"/>
      <c r="CB94" s="90"/>
      <c r="CC94" s="84" t="b">
        <f>IF(CJ81=30,23)</f>
        <v>0</v>
      </c>
      <c r="CD94" s="95"/>
      <c r="CE94" s="94"/>
      <c r="CF94" s="94"/>
      <c r="CG94" s="94"/>
      <c r="CH94" s="94"/>
      <c r="CI94" s="94"/>
      <c r="CJ94" s="94"/>
      <c r="CK94" s="94"/>
      <c r="CL94" s="94"/>
      <c r="CM94" s="94"/>
      <c r="CN94" s="94"/>
      <c r="CO94" s="94"/>
      <c r="CP94" s="94"/>
      <c r="CQ94" s="86" t="b">
        <f>IF(CJ81=30,37)</f>
        <v>0</v>
      </c>
      <c r="CR94" s="62"/>
      <c r="CS94" s="62"/>
      <c r="CT94" s="62"/>
    </row>
    <row r="95" spans="7:98" ht="24" hidden="1" thickBot="1" x14ac:dyDescent="0.3">
      <c r="G95" s="797"/>
      <c r="O95" s="794"/>
      <c r="AU95" s="96"/>
      <c r="AV95" s="96"/>
      <c r="AW95" s="96"/>
      <c r="AX95" s="96"/>
      <c r="BC95" s="753"/>
      <c r="BD95" s="69"/>
      <c r="BE95" s="97"/>
      <c r="BF95" s="79">
        <v>29</v>
      </c>
      <c r="BG95" s="62"/>
      <c r="BH95" s="62"/>
      <c r="BI95" s="62"/>
      <c r="BJ95" s="62"/>
      <c r="BK95" s="62"/>
      <c r="BL95" s="62"/>
      <c r="BM95" s="62"/>
      <c r="BN95" s="62"/>
      <c r="BO95" s="62"/>
      <c r="BP95" s="62"/>
      <c r="BQ95" s="62"/>
      <c r="BR95" s="62"/>
      <c r="BS95" s="62"/>
      <c r="BT95" s="62"/>
      <c r="BU95" s="62"/>
      <c r="BV95" s="62"/>
      <c r="BW95" s="62"/>
      <c r="BX95" s="98"/>
      <c r="BY95" s="62"/>
      <c r="BZ95" s="99"/>
      <c r="CA95" s="100" t="b">
        <f>IF(CI81=29,21)</f>
        <v>0</v>
      </c>
      <c r="CB95" s="94"/>
      <c r="CC95" s="94"/>
      <c r="CD95" s="94"/>
      <c r="CE95" s="94"/>
      <c r="CF95" s="94"/>
      <c r="CG95" s="94"/>
      <c r="CH95" s="101"/>
      <c r="CI95" s="94"/>
      <c r="CJ95" s="101"/>
      <c r="CK95" s="102"/>
      <c r="CL95" s="102"/>
      <c r="CM95" s="102"/>
      <c r="CN95" s="102"/>
      <c r="CO95" s="102"/>
      <c r="CP95" s="102"/>
      <c r="CQ95" s="86" t="b">
        <f>IF(CI81=29,37)</f>
        <v>0</v>
      </c>
      <c r="CR95" s="60"/>
      <c r="CS95" s="62"/>
      <c r="CT95" s="62"/>
    </row>
    <row r="96" spans="7:98" ht="24" hidden="1" thickBot="1" x14ac:dyDescent="0.3">
      <c r="G96" s="797"/>
      <c r="O96" s="794"/>
      <c r="AU96" s="96"/>
      <c r="AV96" s="96"/>
      <c r="AW96" s="96"/>
      <c r="AX96" s="96"/>
      <c r="BC96" s="753"/>
      <c r="BD96" s="69"/>
      <c r="BE96" s="97"/>
      <c r="BF96" s="79">
        <v>28</v>
      </c>
      <c r="BG96" s="62"/>
      <c r="BH96" s="62"/>
      <c r="BI96" s="62"/>
      <c r="BJ96" s="62"/>
      <c r="BK96" s="62"/>
      <c r="BL96" s="62"/>
      <c r="BM96" s="62"/>
      <c r="BN96" s="62"/>
      <c r="BO96" s="62"/>
      <c r="BP96" s="62"/>
      <c r="BQ96" s="62"/>
      <c r="BR96" s="62"/>
      <c r="BS96" s="62"/>
      <c r="BT96" s="62"/>
      <c r="BU96" s="62"/>
      <c r="BV96" s="62"/>
      <c r="BW96" s="62"/>
      <c r="BX96" s="98"/>
      <c r="BY96" s="62"/>
      <c r="BZ96" s="99"/>
      <c r="CA96" s="103" t="b">
        <f>IF(CH81=28,21)</f>
        <v>0</v>
      </c>
      <c r="CB96" s="104"/>
      <c r="CC96" s="104"/>
      <c r="CD96" s="104"/>
      <c r="CE96" s="104"/>
      <c r="CF96" s="105"/>
      <c r="CG96" s="104"/>
      <c r="CH96" s="104"/>
      <c r="CI96" s="104"/>
      <c r="CJ96" s="105"/>
      <c r="CK96" s="106"/>
      <c r="CL96" s="106"/>
      <c r="CM96" s="106"/>
      <c r="CN96" s="106"/>
      <c r="CO96" s="107" t="b">
        <f>IF(CH81=28,35)</f>
        <v>0</v>
      </c>
      <c r="CP96" s="60"/>
      <c r="CQ96" s="60"/>
      <c r="CR96" s="60"/>
      <c r="CS96" s="62"/>
      <c r="CT96" s="62"/>
    </row>
    <row r="97" spans="5:98" ht="24" hidden="1" thickBot="1" x14ac:dyDescent="0.3">
      <c r="G97" s="797"/>
      <c r="O97" s="794"/>
      <c r="AS97" s="96"/>
      <c r="AT97" s="96"/>
      <c r="AU97" s="96"/>
      <c r="AV97" s="96"/>
      <c r="AW97" s="96"/>
      <c r="AX97" s="96"/>
      <c r="BC97" s="753"/>
      <c r="BD97" s="69"/>
      <c r="BE97" s="97"/>
      <c r="BF97" s="79">
        <v>27</v>
      </c>
      <c r="BG97" s="62"/>
      <c r="BH97" s="62"/>
      <c r="BI97" s="62"/>
      <c r="BJ97" s="62"/>
      <c r="BK97" s="62"/>
      <c r="BL97" s="62"/>
      <c r="BM97" s="62"/>
      <c r="BN97" s="62"/>
      <c r="BO97" s="62"/>
      <c r="BP97" s="62"/>
      <c r="BQ97" s="62"/>
      <c r="BR97" s="62"/>
      <c r="BS97" s="62"/>
      <c r="BT97" s="62"/>
      <c r="BU97" s="62"/>
      <c r="BV97" s="62"/>
      <c r="BW97" s="62"/>
      <c r="BX97" s="98"/>
      <c r="BY97" s="62"/>
      <c r="BZ97" s="99"/>
      <c r="CA97" s="103" t="b">
        <f>IF(CG81=27,21)</f>
        <v>0</v>
      </c>
      <c r="CB97" s="104"/>
      <c r="CC97" s="104"/>
      <c r="CD97" s="105"/>
      <c r="CE97" s="104"/>
      <c r="CF97" s="104"/>
      <c r="CG97" s="104"/>
      <c r="CH97" s="104"/>
      <c r="CI97" s="104"/>
      <c r="CJ97" s="105"/>
      <c r="CK97" s="106"/>
      <c r="CL97" s="106"/>
      <c r="CM97" s="107" t="b">
        <f>IF(CG81=27,33)</f>
        <v>0</v>
      </c>
      <c r="CN97" s="60"/>
      <c r="CO97" s="60"/>
      <c r="CP97" s="60"/>
      <c r="CQ97" s="60"/>
      <c r="CR97" s="60"/>
      <c r="CS97" s="62"/>
      <c r="CT97" s="62"/>
    </row>
    <row r="98" spans="5:98" ht="24" hidden="1" thickBot="1" x14ac:dyDescent="0.3">
      <c r="G98" s="797"/>
      <c r="O98" s="794"/>
      <c r="V98" s="108"/>
      <c r="W98" s="109"/>
      <c r="X98" s="109"/>
      <c r="Y98" s="109"/>
      <c r="Z98" s="109"/>
      <c r="AA98" s="109"/>
      <c r="AB98" s="109"/>
      <c r="AC98" s="109"/>
      <c r="AD98" s="109"/>
      <c r="AE98" s="109"/>
      <c r="AF98" s="109"/>
      <c r="AG98" s="109"/>
      <c r="AH98" s="109"/>
      <c r="AI98" s="109"/>
      <c r="AJ98" s="109"/>
      <c r="AK98" s="109"/>
      <c r="AL98" s="109"/>
      <c r="AM98" s="109"/>
      <c r="AN98" s="109"/>
      <c r="AO98" s="109"/>
      <c r="AP98" s="109"/>
      <c r="BC98" s="753"/>
      <c r="BD98" s="69"/>
      <c r="BF98" s="79">
        <v>26</v>
      </c>
      <c r="BG98" s="62"/>
      <c r="BH98" s="62"/>
      <c r="BI98" s="62"/>
      <c r="BJ98" s="62"/>
      <c r="BK98" s="62"/>
      <c r="BL98" s="62"/>
      <c r="BM98" s="62"/>
      <c r="BN98" s="62"/>
      <c r="BO98" s="62"/>
      <c r="BP98" s="62"/>
      <c r="BQ98" s="62"/>
      <c r="BR98" s="62"/>
      <c r="BS98" s="62"/>
      <c r="BT98" s="62"/>
      <c r="BU98" s="62"/>
      <c r="BV98" s="62"/>
      <c r="BW98" s="62"/>
      <c r="BX98" s="98"/>
      <c r="BY98" s="62"/>
      <c r="BZ98" s="99"/>
      <c r="CA98" s="103" t="b">
        <f>IF(CF81=26,21)</f>
        <v>0</v>
      </c>
      <c r="CB98" s="105"/>
      <c r="CC98" s="104"/>
      <c r="CD98" s="104"/>
      <c r="CE98" s="104"/>
      <c r="CF98" s="104"/>
      <c r="CG98" s="104"/>
      <c r="CH98" s="104"/>
      <c r="CI98" s="104"/>
      <c r="CJ98" s="105"/>
      <c r="CK98" s="107" t="b">
        <f>IF(CF81=26,31)</f>
        <v>0</v>
      </c>
      <c r="CL98" s="60"/>
      <c r="CM98" s="60"/>
      <c r="CN98" s="60"/>
      <c r="CO98" s="60"/>
      <c r="CP98" s="60"/>
      <c r="CQ98" s="60"/>
      <c r="CR98" s="60"/>
      <c r="CS98" s="62"/>
      <c r="CT98" s="62"/>
    </row>
    <row r="99" spans="5:98" ht="24" hidden="1" thickBot="1" x14ac:dyDescent="0.3">
      <c r="E99" s="110"/>
      <c r="F99" s="110"/>
      <c r="G99" s="797"/>
      <c r="O99" s="794"/>
      <c r="V99" s="108"/>
      <c r="W99" s="109"/>
      <c r="X99" s="109"/>
      <c r="Y99" s="109"/>
      <c r="Z99" s="109"/>
      <c r="AA99" s="109"/>
      <c r="AB99" s="109"/>
      <c r="AC99" s="109"/>
      <c r="AD99" s="109"/>
      <c r="AE99" s="109"/>
      <c r="AF99" s="109"/>
      <c r="AG99" s="109"/>
      <c r="AH99" s="109"/>
      <c r="AI99" s="109"/>
      <c r="AJ99" s="109"/>
      <c r="AK99" s="109"/>
      <c r="AL99" s="109"/>
      <c r="AM99" s="109"/>
      <c r="AN99" s="109"/>
      <c r="AO99" s="109"/>
      <c r="AP99" s="109"/>
      <c r="AU99" s="109"/>
      <c r="AV99" s="109"/>
      <c r="AW99" s="109"/>
      <c r="AX99" s="109"/>
      <c r="BC99" s="753"/>
      <c r="BD99" s="69"/>
      <c r="BE99" s="109"/>
      <c r="BF99" s="79">
        <v>25</v>
      </c>
      <c r="BG99" s="62"/>
      <c r="BH99" s="62"/>
      <c r="BI99" s="62"/>
      <c r="BJ99" s="62"/>
      <c r="BK99" s="62"/>
      <c r="BL99" s="62"/>
      <c r="BM99" s="62"/>
      <c r="BN99" s="62"/>
      <c r="BO99" s="62"/>
      <c r="BP99" s="62"/>
      <c r="BQ99" s="62"/>
      <c r="BS99" s="62"/>
      <c r="BT99" s="62"/>
      <c r="BU99" s="62"/>
      <c r="BV99" s="62"/>
      <c r="BW99" s="62"/>
      <c r="BX99" s="98"/>
      <c r="BY99" s="62"/>
      <c r="CA99" s="111" t="b">
        <f>IF(CE81=25,21)</f>
        <v>0</v>
      </c>
      <c r="CB99" s="104"/>
      <c r="CC99" s="104"/>
      <c r="CD99" s="104"/>
      <c r="CE99" s="104"/>
      <c r="CF99" s="104"/>
      <c r="CG99" s="104"/>
      <c r="CH99" s="104"/>
      <c r="CI99" s="107" t="b">
        <f>IF(CE81=25,29)</f>
        <v>0</v>
      </c>
      <c r="CK99" s="60"/>
      <c r="CL99" s="60"/>
      <c r="CM99" s="60"/>
      <c r="CN99" s="60"/>
      <c r="CO99" s="60"/>
      <c r="CP99" s="60"/>
      <c r="CQ99" s="60"/>
      <c r="CR99" s="60"/>
      <c r="CS99" s="62"/>
      <c r="CT99" s="62"/>
    </row>
    <row r="100" spans="5:98" ht="24" hidden="1" thickBot="1" x14ac:dyDescent="0.3">
      <c r="E100" s="110"/>
      <c r="F100" s="110"/>
      <c r="G100" s="797"/>
      <c r="O100" s="794"/>
      <c r="V100" s="108"/>
      <c r="W100" s="109"/>
      <c r="X100" s="109"/>
      <c r="Y100" s="109"/>
      <c r="Z100" s="109"/>
      <c r="AA100" s="109"/>
      <c r="AB100" s="109"/>
      <c r="AC100" s="109"/>
      <c r="AD100" s="109"/>
      <c r="AE100" s="109"/>
      <c r="AF100" s="109"/>
      <c r="AG100" s="109"/>
      <c r="AH100" s="109"/>
      <c r="AI100" s="109"/>
      <c r="AJ100" s="109"/>
      <c r="AK100" s="109"/>
      <c r="AL100" s="109"/>
      <c r="AM100" s="109"/>
      <c r="AN100" s="109"/>
      <c r="AO100" s="109"/>
      <c r="AP100" s="109"/>
      <c r="AU100" s="109"/>
      <c r="AV100" s="109"/>
      <c r="AW100" s="109"/>
      <c r="AX100" s="109"/>
      <c r="BC100" s="753"/>
      <c r="BD100" s="69"/>
      <c r="BE100" s="109"/>
      <c r="BF100" s="79">
        <v>24</v>
      </c>
      <c r="BG100" s="62"/>
      <c r="BH100" s="62"/>
      <c r="BI100" s="62"/>
      <c r="BJ100" s="62"/>
      <c r="BK100" s="62"/>
      <c r="BL100" s="62"/>
      <c r="BM100" s="62"/>
      <c r="BN100" s="62"/>
      <c r="BO100" s="62"/>
      <c r="BP100" s="62"/>
      <c r="BQ100" s="62"/>
      <c r="BR100" s="100" t="b">
        <f>IF(CD81=24,12)</f>
        <v>0</v>
      </c>
      <c r="BS100" s="94"/>
      <c r="BT100" s="94"/>
      <c r="BU100" s="94"/>
      <c r="BV100" s="94"/>
      <c r="BW100" s="94"/>
      <c r="BX100" s="101"/>
      <c r="BY100" s="94"/>
      <c r="BZ100" s="112"/>
      <c r="CA100" s="94"/>
      <c r="CB100" s="94"/>
      <c r="CC100" s="94"/>
      <c r="CD100" s="94"/>
      <c r="CE100" s="94"/>
      <c r="CF100" s="94"/>
      <c r="CG100" s="94"/>
      <c r="CH100" s="94"/>
      <c r="CI100" s="94"/>
      <c r="CJ100" s="101"/>
      <c r="CK100" s="102"/>
      <c r="CL100" s="102"/>
      <c r="CM100" s="102"/>
      <c r="CN100" s="102"/>
      <c r="CO100" s="102"/>
      <c r="CP100" s="86" t="b">
        <f>IF(CD81=24,36)</f>
        <v>0</v>
      </c>
      <c r="CQ100" s="60"/>
      <c r="CR100" s="60"/>
      <c r="CS100" s="62"/>
      <c r="CT100" s="62"/>
    </row>
    <row r="101" spans="5:98" ht="24" hidden="1" thickBot="1" x14ac:dyDescent="0.3">
      <c r="E101" s="113"/>
      <c r="F101" s="113"/>
      <c r="G101" s="797"/>
      <c r="O101" s="794"/>
      <c r="V101" s="114"/>
      <c r="W101" s="109"/>
      <c r="X101" s="109"/>
      <c r="Y101" s="109"/>
      <c r="Z101" s="109"/>
      <c r="AA101" s="109"/>
      <c r="AB101" s="109"/>
      <c r="AC101" s="109"/>
      <c r="AD101" s="109"/>
      <c r="AE101" s="109"/>
      <c r="AF101" s="109"/>
      <c r="AG101" s="109"/>
      <c r="AH101" s="109"/>
      <c r="AI101" s="109"/>
      <c r="AJ101" s="109"/>
      <c r="AK101" s="109"/>
      <c r="AL101" s="109"/>
      <c r="AM101" s="109"/>
      <c r="AN101" s="109"/>
      <c r="AO101" s="109"/>
      <c r="AP101" s="109"/>
      <c r="AU101" s="109"/>
      <c r="AV101" s="109"/>
      <c r="AW101" s="109"/>
      <c r="AX101" s="109"/>
      <c r="BC101" s="753"/>
      <c r="BD101" s="69"/>
      <c r="BE101" s="109"/>
      <c r="BF101" s="79">
        <v>23</v>
      </c>
      <c r="BG101" s="62"/>
      <c r="BH101" s="62"/>
      <c r="BI101" s="62"/>
      <c r="BJ101" s="62"/>
      <c r="BK101" s="62"/>
      <c r="BL101" s="62"/>
      <c r="BM101" s="62"/>
      <c r="BN101" s="62"/>
      <c r="BO101" s="62"/>
      <c r="BP101" s="62"/>
      <c r="BQ101" s="62"/>
      <c r="BR101" s="103" t="b">
        <f>IF(CC81=23,12)</f>
        <v>0</v>
      </c>
      <c r="BS101" s="104"/>
      <c r="BT101" s="104"/>
      <c r="BU101" s="104"/>
      <c r="BV101" s="105"/>
      <c r="BW101" s="104"/>
      <c r="BX101" s="115"/>
      <c r="BY101" s="104"/>
      <c r="BZ101" s="116"/>
      <c r="CA101" s="104"/>
      <c r="CB101" s="104"/>
      <c r="CC101" s="104"/>
      <c r="CD101" s="104"/>
      <c r="CE101" s="104"/>
      <c r="CF101" s="104"/>
      <c r="CG101" s="104"/>
      <c r="CH101" s="104"/>
      <c r="CI101" s="104"/>
      <c r="CJ101" s="105"/>
      <c r="CK101" s="106"/>
      <c r="CL101" s="106"/>
      <c r="CM101" s="106"/>
      <c r="CN101" s="107" t="b">
        <f>IF(CC81=23,34)</f>
        <v>0</v>
      </c>
      <c r="CO101" s="60"/>
      <c r="CP101" s="60"/>
      <c r="CQ101" s="60"/>
      <c r="CR101" s="60"/>
      <c r="CS101" s="62"/>
      <c r="CT101" s="62"/>
    </row>
    <row r="102" spans="5:98" ht="24" hidden="1" thickBot="1" x14ac:dyDescent="0.3">
      <c r="E102" s="113"/>
      <c r="F102" s="113"/>
      <c r="G102" s="797"/>
      <c r="O102" s="794"/>
      <c r="V102" s="108"/>
      <c r="W102" s="109"/>
      <c r="X102" s="109"/>
      <c r="Y102" s="109"/>
      <c r="Z102" s="109"/>
      <c r="AA102" s="109"/>
      <c r="AB102" s="109"/>
      <c r="AC102" s="109"/>
      <c r="AD102" s="109"/>
      <c r="AE102" s="109"/>
      <c r="AF102" s="109"/>
      <c r="AG102" s="109"/>
      <c r="AH102" s="109"/>
      <c r="AI102" s="109"/>
      <c r="AJ102" s="109"/>
      <c r="AK102" s="109"/>
      <c r="AL102" s="109"/>
      <c r="AM102" s="109"/>
      <c r="AN102" s="109"/>
      <c r="AO102" s="109"/>
      <c r="AP102" s="109"/>
      <c r="AU102" s="109"/>
      <c r="AV102" s="109"/>
      <c r="AW102" s="109"/>
      <c r="AX102" s="109"/>
      <c r="BC102" s="753"/>
      <c r="BD102" s="69"/>
      <c r="BE102" s="109"/>
      <c r="BF102" s="79">
        <v>22</v>
      </c>
      <c r="BG102" s="60"/>
      <c r="BH102" s="60"/>
      <c r="BI102" s="60"/>
      <c r="BJ102" s="60"/>
      <c r="BK102" s="60"/>
      <c r="BL102" s="60"/>
      <c r="BM102" s="60"/>
      <c r="BN102" s="60"/>
      <c r="BO102" s="60"/>
      <c r="BP102" s="60"/>
      <c r="BQ102" s="60"/>
      <c r="BR102" s="103" t="b">
        <f>IF(CB81=22,12)</f>
        <v>0</v>
      </c>
      <c r="BS102" s="106"/>
      <c r="BT102" s="106"/>
      <c r="BU102" s="106"/>
      <c r="BV102" s="105"/>
      <c r="BW102" s="106"/>
      <c r="BX102" s="117"/>
      <c r="BY102" s="106"/>
      <c r="BZ102" s="118"/>
      <c r="CA102" s="106"/>
      <c r="CB102" s="106"/>
      <c r="CC102" s="106"/>
      <c r="CD102" s="106"/>
      <c r="CE102" s="104"/>
      <c r="CF102" s="104"/>
      <c r="CG102" s="105"/>
      <c r="CH102" s="104"/>
      <c r="CI102" s="104"/>
      <c r="CJ102" s="104"/>
      <c r="CK102" s="104"/>
      <c r="CL102" s="107" t="b">
        <f>IF(CB81=22,32)</f>
        <v>0</v>
      </c>
      <c r="CM102" s="62"/>
      <c r="CN102" s="62"/>
      <c r="CO102" s="62"/>
      <c r="CP102" s="62"/>
      <c r="CQ102" s="62"/>
      <c r="CR102" s="62"/>
      <c r="CS102" s="62"/>
      <c r="CT102" s="62"/>
    </row>
    <row r="103" spans="5:98" ht="24" hidden="1" thickBot="1" x14ac:dyDescent="0.3">
      <c r="G103" s="797"/>
      <c r="O103" s="794"/>
      <c r="U103" s="109"/>
      <c r="V103" s="109"/>
      <c r="W103" s="109"/>
      <c r="X103" s="109"/>
      <c r="Y103" s="109"/>
      <c r="Z103" s="109"/>
      <c r="AA103" s="109"/>
      <c r="AB103" s="109"/>
      <c r="AC103" s="109"/>
      <c r="AD103" s="109"/>
      <c r="AE103" s="109"/>
      <c r="AF103" s="109"/>
      <c r="AG103" s="109"/>
      <c r="AH103" s="109"/>
      <c r="AI103" s="109"/>
      <c r="AJ103" s="109"/>
      <c r="AK103" s="109"/>
      <c r="AL103" s="109"/>
      <c r="AM103" s="109"/>
      <c r="AN103" s="109"/>
      <c r="AO103" s="109"/>
      <c r="AP103" s="109"/>
      <c r="AU103" s="109"/>
      <c r="AV103" s="109"/>
      <c r="AW103" s="109"/>
      <c r="AX103" s="109"/>
      <c r="BC103" s="753"/>
      <c r="BD103" s="69"/>
      <c r="BE103" s="109"/>
      <c r="BF103" s="79">
        <v>21</v>
      </c>
      <c r="BG103" s="62"/>
      <c r="BH103" s="62"/>
      <c r="BI103" s="62"/>
      <c r="BJ103" s="62"/>
      <c r="BK103" s="62"/>
      <c r="BL103" s="62"/>
      <c r="BM103" s="62"/>
      <c r="BN103" s="62"/>
      <c r="BO103" s="62"/>
      <c r="BP103" s="62"/>
      <c r="BQ103" s="62"/>
      <c r="BR103" s="103" t="b">
        <f>IF(CA81=21,12)</f>
        <v>0</v>
      </c>
      <c r="BS103" s="104"/>
      <c r="BT103" s="104"/>
      <c r="BU103" s="104"/>
      <c r="BV103" s="104"/>
      <c r="BW103" s="104"/>
      <c r="BX103" s="115"/>
      <c r="BY103" s="104"/>
      <c r="BZ103" s="116"/>
      <c r="CA103" s="104"/>
      <c r="CB103" s="104"/>
      <c r="CC103" s="104"/>
      <c r="CD103" s="104"/>
      <c r="CE103" s="104"/>
      <c r="CF103" s="104"/>
      <c r="CG103" s="104"/>
      <c r="CH103" s="104"/>
      <c r="CI103" s="104"/>
      <c r="CJ103" s="107" t="b">
        <f>IF(CA81=21,30)</f>
        <v>0</v>
      </c>
      <c r="CK103" s="60"/>
      <c r="CL103" s="60"/>
      <c r="CM103" s="60"/>
      <c r="CN103" s="60"/>
      <c r="CO103" s="60"/>
      <c r="CP103" s="60"/>
      <c r="CQ103" s="60"/>
      <c r="CR103" s="60"/>
      <c r="CS103" s="62"/>
      <c r="CT103" s="62"/>
    </row>
    <row r="104" spans="5:98" ht="24" hidden="1" thickBot="1" x14ac:dyDescent="0.3">
      <c r="G104" s="797"/>
      <c r="O104" s="794"/>
      <c r="U104" s="109"/>
      <c r="V104" s="109"/>
      <c r="W104" s="109"/>
      <c r="X104" s="109"/>
      <c r="Y104" s="109"/>
      <c r="Z104" s="109"/>
      <c r="AA104" s="109"/>
      <c r="AB104" s="109"/>
      <c r="AC104" s="109"/>
      <c r="AD104" s="109"/>
      <c r="AE104" s="109"/>
      <c r="AF104" s="109"/>
      <c r="AG104" s="109"/>
      <c r="AH104" s="109"/>
      <c r="AI104" s="109"/>
      <c r="AJ104" s="109"/>
      <c r="AK104" s="109"/>
      <c r="AL104" s="109"/>
      <c r="AM104" s="109"/>
      <c r="AN104" s="109"/>
      <c r="AO104" s="109"/>
      <c r="AP104" s="109"/>
      <c r="AU104" s="119"/>
      <c r="AV104" s="119"/>
      <c r="AW104" s="119"/>
      <c r="AX104" s="119"/>
      <c r="BC104" s="753"/>
      <c r="BD104" s="69"/>
      <c r="BE104" s="119"/>
      <c r="BF104" s="79">
        <v>20</v>
      </c>
      <c r="BG104" s="62"/>
      <c r="BH104" s="62"/>
      <c r="BI104" s="62"/>
      <c r="BJ104" s="62"/>
      <c r="BK104" s="62"/>
      <c r="BL104" s="62"/>
      <c r="BM104" s="62"/>
      <c r="BN104" s="62"/>
      <c r="BQ104" s="120"/>
      <c r="BR104" s="100" t="b">
        <f>IF(BZ81=20,12)</f>
        <v>0</v>
      </c>
      <c r="BS104" s="94"/>
      <c r="BT104" s="94"/>
      <c r="BU104" s="94"/>
      <c r="BV104" s="94"/>
      <c r="BW104" s="94"/>
      <c r="BX104" s="121"/>
      <c r="BY104" s="94"/>
      <c r="BZ104" s="112"/>
      <c r="CA104" s="94"/>
      <c r="CB104" s="94"/>
      <c r="CC104" s="94"/>
      <c r="CD104" s="94"/>
      <c r="CE104" s="94"/>
      <c r="CF104" s="94"/>
      <c r="CG104" s="94"/>
      <c r="CH104" s="86" t="b">
        <f>IF(BZ81=20,28)</f>
        <v>0</v>
      </c>
      <c r="CI104" s="120"/>
      <c r="CK104" s="60"/>
      <c r="CL104" s="60"/>
      <c r="CM104" s="60"/>
      <c r="CN104" s="60"/>
      <c r="CO104" s="60"/>
      <c r="CP104" s="60"/>
      <c r="CQ104" s="60"/>
      <c r="CR104" s="60"/>
      <c r="CS104" s="62"/>
      <c r="CT104" s="62"/>
    </row>
    <row r="105" spans="5:98" ht="24" hidden="1" thickBot="1" x14ac:dyDescent="0.3">
      <c r="G105" s="797"/>
      <c r="O105" s="794"/>
      <c r="AU105" s="119"/>
      <c r="AV105" s="119"/>
      <c r="AW105" s="119"/>
      <c r="AX105" s="119"/>
      <c r="BC105" s="753"/>
      <c r="BD105" s="69"/>
      <c r="BE105" s="119"/>
      <c r="BF105" s="79">
        <v>19</v>
      </c>
      <c r="BG105" s="62"/>
      <c r="BH105" s="62"/>
      <c r="BI105" s="62"/>
      <c r="BJ105" s="62"/>
      <c r="BK105" s="62"/>
      <c r="BL105" s="62"/>
      <c r="BM105" s="62"/>
      <c r="BN105" s="62"/>
      <c r="BP105" s="122"/>
      <c r="BQ105" s="122"/>
      <c r="BR105" s="100" t="b">
        <f>IF(BY81=19,12)</f>
        <v>0</v>
      </c>
      <c r="BS105" s="102"/>
      <c r="BT105" s="102"/>
      <c r="BU105" s="101"/>
      <c r="BV105" s="102"/>
      <c r="BW105" s="102"/>
      <c r="BX105" s="123"/>
      <c r="BY105" s="102"/>
      <c r="BZ105" s="124"/>
      <c r="CA105" s="101"/>
      <c r="CB105" s="102"/>
      <c r="CC105" s="102"/>
      <c r="CD105" s="102"/>
      <c r="CE105" s="94"/>
      <c r="CF105" s="86" t="b">
        <f>IF(BY81=19,26)</f>
        <v>0</v>
      </c>
      <c r="CG105" s="125"/>
      <c r="CH105" s="120"/>
      <c r="CJ105" s="62"/>
      <c r="CK105" s="62"/>
      <c r="CL105" s="62"/>
      <c r="CM105" s="62"/>
      <c r="CN105" s="62"/>
      <c r="CO105" s="62"/>
      <c r="CP105" s="62"/>
      <c r="CQ105" s="62"/>
      <c r="CR105" s="62"/>
      <c r="CS105" s="62"/>
      <c r="CT105" s="62"/>
    </row>
    <row r="106" spans="5:98" ht="24" hidden="1" thickBot="1" x14ac:dyDescent="0.3">
      <c r="G106" s="797"/>
      <c r="O106" s="794"/>
      <c r="AU106" s="119"/>
      <c r="AV106" s="119"/>
      <c r="AW106" s="119"/>
      <c r="AX106" s="119"/>
      <c r="BC106" s="753"/>
      <c r="BD106" s="69"/>
      <c r="BE106" s="119"/>
      <c r="BF106" s="79">
        <v>18</v>
      </c>
      <c r="BG106" s="60"/>
      <c r="BH106" s="60"/>
      <c r="BI106" s="60"/>
      <c r="BJ106" s="60"/>
      <c r="BK106" s="60"/>
      <c r="BL106" s="60"/>
      <c r="BM106" s="60"/>
      <c r="BN106" s="60"/>
      <c r="BP106" s="100">
        <f>IF(BX81=18,10)</f>
        <v>10</v>
      </c>
      <c r="BQ106" s="102"/>
      <c r="BR106" s="102"/>
      <c r="BS106" s="102"/>
      <c r="BT106" s="102"/>
      <c r="BU106" s="101"/>
      <c r="BV106" s="102"/>
      <c r="BW106" s="102"/>
      <c r="BX106" s="123"/>
      <c r="BY106" s="102"/>
      <c r="BZ106" s="124"/>
      <c r="CA106" s="101"/>
      <c r="CB106" s="102"/>
      <c r="CC106" s="102"/>
      <c r="CD106" s="102"/>
      <c r="CE106" s="94"/>
      <c r="CF106" s="86">
        <f>IF(BX81=18,26)</f>
        <v>26</v>
      </c>
      <c r="CH106" s="62"/>
      <c r="CI106" s="62"/>
      <c r="CJ106" s="62"/>
      <c r="CK106" s="62"/>
      <c r="CL106" s="62"/>
      <c r="CM106" s="62"/>
      <c r="CN106" s="62"/>
      <c r="CO106" s="62"/>
      <c r="CP106" s="62"/>
      <c r="CQ106" s="62"/>
      <c r="CR106" s="62"/>
      <c r="CS106" s="62"/>
      <c r="CT106" s="62"/>
    </row>
    <row r="107" spans="5:98" ht="24" hidden="1" thickBot="1" x14ac:dyDescent="0.3">
      <c r="G107" s="797"/>
      <c r="O107" s="794"/>
      <c r="AU107" s="119"/>
      <c r="AV107" s="119"/>
      <c r="AW107" s="119"/>
      <c r="AX107" s="119"/>
      <c r="BC107" s="753"/>
      <c r="BD107" s="69"/>
      <c r="BE107" s="119"/>
      <c r="BF107" s="79">
        <v>17</v>
      </c>
      <c r="BG107" s="60"/>
      <c r="BH107" s="60"/>
      <c r="BI107" s="60"/>
      <c r="BJ107" s="60"/>
      <c r="BK107" s="60"/>
      <c r="BL107" s="60"/>
      <c r="BM107" s="60"/>
      <c r="BN107" s="100" t="b">
        <f>IF(BW81=17,8)</f>
        <v>0</v>
      </c>
      <c r="BO107" s="101"/>
      <c r="BP107" s="101"/>
      <c r="BQ107" s="102"/>
      <c r="BR107" s="102"/>
      <c r="BS107" s="102"/>
      <c r="BT107" s="102"/>
      <c r="BU107" s="102"/>
      <c r="BV107" s="102"/>
      <c r="BW107" s="102"/>
      <c r="BX107" s="123"/>
      <c r="BY107" s="102"/>
      <c r="BZ107" s="124"/>
      <c r="CA107" s="102"/>
      <c r="CB107" s="102"/>
      <c r="CC107" s="102"/>
      <c r="CD107" s="101"/>
      <c r="CE107" s="101"/>
      <c r="CF107" s="86" t="b">
        <f>IF(BW81=17,26)</f>
        <v>0</v>
      </c>
      <c r="CG107" s="62"/>
      <c r="CH107" s="62"/>
      <c r="CI107" s="62"/>
      <c r="CJ107" s="62"/>
      <c r="CK107" s="62"/>
      <c r="CL107" s="62"/>
      <c r="CM107" s="62"/>
      <c r="CN107" s="62"/>
      <c r="CO107" s="62"/>
      <c r="CP107" s="62"/>
      <c r="CQ107" s="62"/>
      <c r="CR107" s="62"/>
      <c r="CS107" s="62"/>
      <c r="CT107" s="62"/>
    </row>
    <row r="108" spans="5:98" ht="24" hidden="1" thickBot="1" x14ac:dyDescent="0.3">
      <c r="G108" s="797"/>
      <c r="O108" s="794"/>
      <c r="U108" s="109"/>
      <c r="V108" s="109"/>
      <c r="W108" s="109"/>
      <c r="X108" s="109"/>
      <c r="Y108" s="109"/>
      <c r="Z108" s="109"/>
      <c r="AA108" s="109"/>
      <c r="AB108" s="109"/>
      <c r="AC108" s="109"/>
      <c r="AD108" s="109"/>
      <c r="AE108" s="109"/>
      <c r="AF108" s="109"/>
      <c r="AG108" s="109"/>
      <c r="AH108" s="109"/>
      <c r="AI108" s="109"/>
      <c r="AJ108" s="109"/>
      <c r="AK108" s="109"/>
      <c r="AL108" s="109"/>
      <c r="AM108" s="109"/>
      <c r="AN108" s="109"/>
      <c r="AO108" s="109"/>
      <c r="AP108" s="109"/>
      <c r="AR108" s="126"/>
      <c r="AS108" s="127"/>
      <c r="AT108" s="127"/>
      <c r="AU108" s="119"/>
      <c r="AV108" s="119"/>
      <c r="AW108" s="119"/>
      <c r="AX108" s="119"/>
      <c r="BC108" s="753"/>
      <c r="BD108" s="69"/>
      <c r="BE108" s="119"/>
      <c r="BF108" s="79">
        <v>16</v>
      </c>
      <c r="BG108" s="60"/>
      <c r="BH108" s="60"/>
      <c r="BI108" s="60"/>
      <c r="BJ108" s="60"/>
      <c r="BK108" s="60"/>
      <c r="BL108" s="128" t="b">
        <f>IF(BV81=16,6)</f>
        <v>0</v>
      </c>
      <c r="BM108" s="129"/>
      <c r="BN108" s="130"/>
      <c r="BO108" s="130"/>
      <c r="BP108" s="129"/>
      <c r="BQ108" s="129"/>
      <c r="BR108" s="129"/>
      <c r="BS108" s="129"/>
      <c r="BT108" s="129"/>
      <c r="BU108" s="129"/>
      <c r="BV108" s="129"/>
      <c r="BW108" s="129"/>
      <c r="BX108" s="131"/>
      <c r="BY108" s="129"/>
      <c r="BZ108" s="132"/>
      <c r="CA108" s="129"/>
      <c r="CB108" s="129"/>
      <c r="CC108" s="130"/>
      <c r="CD108" s="130"/>
      <c r="CE108" s="133"/>
      <c r="CF108" s="134" t="b">
        <f>IF(BV81=16,26)</f>
        <v>0</v>
      </c>
      <c r="CG108" s="62"/>
      <c r="CH108" s="62"/>
      <c r="CI108" s="62"/>
      <c r="CJ108" s="62"/>
      <c r="CK108" s="62"/>
      <c r="CL108" s="62"/>
      <c r="CM108" s="62"/>
      <c r="CN108" s="62"/>
      <c r="CO108" s="62"/>
      <c r="CP108" s="62"/>
      <c r="CQ108" s="62"/>
      <c r="CR108" s="62"/>
      <c r="CS108" s="62"/>
      <c r="CT108" s="62"/>
    </row>
    <row r="109" spans="5:98" ht="24" hidden="1" thickBot="1" x14ac:dyDescent="0.3">
      <c r="G109" s="797"/>
      <c r="O109" s="794"/>
      <c r="U109" s="109"/>
      <c r="V109" s="109"/>
      <c r="W109" s="109"/>
      <c r="X109" s="109"/>
      <c r="Y109" s="109"/>
      <c r="Z109" s="109"/>
      <c r="AA109" s="109"/>
      <c r="AB109" s="109"/>
      <c r="AC109" s="109"/>
      <c r="AD109" s="109"/>
      <c r="AE109" s="109"/>
      <c r="AF109" s="109"/>
      <c r="AG109" s="109"/>
      <c r="AH109" s="109"/>
      <c r="AI109" s="109"/>
      <c r="AJ109" s="109"/>
      <c r="AK109" s="109"/>
      <c r="AL109" s="109"/>
      <c r="AM109" s="109"/>
      <c r="AN109" s="109"/>
      <c r="AO109" s="109"/>
      <c r="AP109" s="109"/>
      <c r="AR109" s="126"/>
      <c r="AS109" s="127"/>
      <c r="AT109" s="127"/>
      <c r="AU109" s="119"/>
      <c r="AV109" s="119"/>
      <c r="AW109" s="119"/>
      <c r="AX109" s="119"/>
      <c r="BC109" s="753"/>
      <c r="BD109" s="69"/>
      <c r="BE109" s="119"/>
      <c r="BF109" s="79">
        <v>15</v>
      </c>
      <c r="BG109" s="60"/>
      <c r="BH109" s="60"/>
      <c r="BI109" s="60"/>
      <c r="BJ109" s="100" t="b">
        <f>IF(BU81=15,4)</f>
        <v>0</v>
      </c>
      <c r="BK109" s="102"/>
      <c r="BL109" s="102"/>
      <c r="BM109" s="102"/>
      <c r="BN109" s="101"/>
      <c r="BO109" s="102"/>
      <c r="BP109" s="102"/>
      <c r="BQ109" s="101"/>
      <c r="BR109" s="102"/>
      <c r="BS109" s="102"/>
      <c r="BT109" s="102"/>
      <c r="BU109" s="102"/>
      <c r="BV109" s="102"/>
      <c r="BW109" s="102"/>
      <c r="BX109" s="123"/>
      <c r="BY109" s="101"/>
      <c r="BZ109" s="124"/>
      <c r="CA109" s="102"/>
      <c r="CB109" s="101"/>
      <c r="CC109" s="102"/>
      <c r="CD109" s="102"/>
      <c r="CE109" s="94"/>
      <c r="CF109" s="86" t="b">
        <f>IF(BU81=15,26)</f>
        <v>0</v>
      </c>
      <c r="CG109" s="62"/>
      <c r="CH109" s="62"/>
      <c r="CI109" s="62"/>
      <c r="CJ109" s="62"/>
      <c r="CK109" s="62"/>
      <c r="CL109" s="62"/>
      <c r="CM109" s="62"/>
      <c r="CN109" s="62"/>
      <c r="CO109" s="62"/>
      <c r="CP109" s="62"/>
      <c r="CQ109" s="62"/>
      <c r="CR109" s="62"/>
      <c r="CS109" s="62"/>
      <c r="CT109" s="62"/>
    </row>
    <row r="110" spans="5:98" ht="24" hidden="1" thickBot="1" x14ac:dyDescent="0.3">
      <c r="G110" s="797"/>
      <c r="O110" s="794"/>
      <c r="U110" s="109"/>
      <c r="V110" s="109"/>
      <c r="W110" s="109"/>
      <c r="X110" s="109"/>
      <c r="Y110" s="109"/>
      <c r="Z110" s="109"/>
      <c r="AA110" s="109"/>
      <c r="AB110" s="109"/>
      <c r="AC110" s="109"/>
      <c r="AD110" s="109"/>
      <c r="AE110" s="109"/>
      <c r="AF110" s="109"/>
      <c r="AG110" s="109"/>
      <c r="AH110" s="109"/>
      <c r="AI110" s="109"/>
      <c r="AJ110" s="109"/>
      <c r="AK110" s="109"/>
      <c r="AL110" s="109"/>
      <c r="AM110" s="109"/>
      <c r="AN110" s="109"/>
      <c r="AO110" s="109"/>
      <c r="AP110" s="109"/>
      <c r="AR110" s="126"/>
      <c r="AS110" s="127"/>
      <c r="AT110" s="127"/>
      <c r="AU110" s="119"/>
      <c r="AV110" s="119"/>
      <c r="AW110" s="119"/>
      <c r="AX110" s="119"/>
      <c r="BC110" s="753"/>
      <c r="BD110" s="69"/>
      <c r="BE110" s="119"/>
      <c r="BF110" s="79">
        <v>14</v>
      </c>
      <c r="BG110" s="60"/>
      <c r="BH110" s="100" t="b">
        <f>IF(BT81=14,2)</f>
        <v>0</v>
      </c>
      <c r="BI110" s="102"/>
      <c r="BJ110" s="102"/>
      <c r="BK110" s="102"/>
      <c r="BL110" s="101"/>
      <c r="BM110" s="102"/>
      <c r="BN110" s="102"/>
      <c r="BO110" s="101"/>
      <c r="BP110" s="102"/>
      <c r="BQ110" s="102"/>
      <c r="BR110" s="102"/>
      <c r="BS110" s="102"/>
      <c r="BT110" s="102"/>
      <c r="BU110" s="102"/>
      <c r="BV110" s="102"/>
      <c r="BW110" s="102"/>
      <c r="BX110" s="123"/>
      <c r="BY110" s="101"/>
      <c r="BZ110" s="124"/>
      <c r="CA110" s="102"/>
      <c r="CB110" s="101"/>
      <c r="CC110" s="102"/>
      <c r="CD110" s="102"/>
      <c r="CE110" s="94"/>
      <c r="CF110" s="86" t="b">
        <f>IF(BT81=14,26)</f>
        <v>0</v>
      </c>
      <c r="CG110" s="62"/>
      <c r="CH110" s="62"/>
      <c r="CI110" s="62"/>
      <c r="CJ110" s="62"/>
      <c r="CK110" s="62"/>
      <c r="CL110" s="62"/>
      <c r="CM110" s="62"/>
      <c r="CN110" s="62"/>
      <c r="CO110" s="62"/>
      <c r="CP110" s="62"/>
      <c r="CQ110" s="62"/>
      <c r="CR110" s="62"/>
      <c r="CS110" s="62"/>
      <c r="CT110" s="62"/>
    </row>
    <row r="111" spans="5:98" ht="24" hidden="1" thickBot="1" x14ac:dyDescent="0.3">
      <c r="G111" s="797"/>
      <c r="O111" s="794"/>
      <c r="U111" s="109"/>
      <c r="V111" s="109"/>
      <c r="W111" s="109"/>
      <c r="X111" s="109"/>
      <c r="Y111" s="109"/>
      <c r="Z111" s="109"/>
      <c r="AA111" s="109"/>
      <c r="AB111" s="109"/>
      <c r="AC111" s="109"/>
      <c r="AD111" s="109"/>
      <c r="AE111" s="109"/>
      <c r="AF111" s="109"/>
      <c r="AG111" s="109"/>
      <c r="AH111" s="109"/>
      <c r="AI111" s="109"/>
      <c r="AJ111" s="109"/>
      <c r="AK111" s="109"/>
      <c r="AL111" s="109"/>
      <c r="AM111" s="109"/>
      <c r="AN111" s="109"/>
      <c r="AO111" s="109"/>
      <c r="AP111" s="109"/>
      <c r="AR111" s="126"/>
      <c r="AS111" s="127"/>
      <c r="AT111" s="127"/>
      <c r="AU111" s="119"/>
      <c r="AV111" s="119"/>
      <c r="AW111" s="119"/>
      <c r="AX111" s="119"/>
      <c r="BC111" s="753"/>
      <c r="BD111" s="69"/>
      <c r="BE111" s="119"/>
      <c r="BF111" s="79">
        <v>13</v>
      </c>
      <c r="BG111" s="60"/>
      <c r="BH111" s="60"/>
      <c r="BI111" s="60"/>
      <c r="BK111" s="135"/>
      <c r="BL111" s="135"/>
      <c r="BM111" s="74"/>
      <c r="BN111" s="135"/>
      <c r="BO111" s="103" t="b">
        <f>IF(BS81=13,9)</f>
        <v>0</v>
      </c>
      <c r="BP111" s="106"/>
      <c r="BQ111" s="106"/>
      <c r="BR111" s="106"/>
      <c r="BS111" s="106"/>
      <c r="BT111" s="106"/>
      <c r="BU111" s="106"/>
      <c r="BV111" s="106"/>
      <c r="BW111" s="107" t="b">
        <f>IF(BS81=13,17)</f>
        <v>0</v>
      </c>
      <c r="BX111" s="136"/>
      <c r="BY111" s="74"/>
      <c r="BZ111" s="137"/>
      <c r="CA111" s="135"/>
      <c r="CC111" s="60"/>
      <c r="CD111" s="60"/>
      <c r="CE111" s="62"/>
      <c r="CF111" s="62"/>
      <c r="CG111" s="62"/>
      <c r="CH111" s="62"/>
      <c r="CI111" s="62"/>
      <c r="CJ111" s="62"/>
      <c r="CK111" s="62"/>
      <c r="CL111" s="62"/>
      <c r="CM111" s="62"/>
      <c r="CN111" s="62"/>
      <c r="CO111" s="62"/>
      <c r="CP111" s="62"/>
      <c r="CQ111" s="62"/>
      <c r="CR111" s="62"/>
      <c r="CS111" s="62"/>
      <c r="CT111" s="62"/>
    </row>
    <row r="112" spans="5:98" ht="24" hidden="1" thickBot="1" x14ac:dyDescent="0.3">
      <c r="G112" s="797"/>
      <c r="O112" s="794"/>
      <c r="U112" s="109"/>
      <c r="V112" s="109"/>
      <c r="W112" s="109"/>
      <c r="X112" s="109"/>
      <c r="Y112" s="109"/>
      <c r="Z112" s="109"/>
      <c r="AA112" s="109"/>
      <c r="AB112" s="109"/>
      <c r="AC112" s="109"/>
      <c r="AD112" s="109"/>
      <c r="AE112" s="109"/>
      <c r="AF112" s="109"/>
      <c r="AG112" s="109"/>
      <c r="AH112" s="109"/>
      <c r="AI112" s="109"/>
      <c r="AJ112" s="109"/>
      <c r="AK112" s="109"/>
      <c r="AL112" s="109"/>
      <c r="AM112" s="109"/>
      <c r="AN112" s="109"/>
      <c r="AO112" s="109"/>
      <c r="AP112" s="109"/>
      <c r="AR112" s="126"/>
      <c r="AS112" s="127"/>
      <c r="AT112" s="127"/>
      <c r="AU112" s="119"/>
      <c r="AV112" s="119"/>
      <c r="AW112" s="119"/>
      <c r="AX112" s="119"/>
      <c r="BC112" s="753"/>
      <c r="BD112" s="69"/>
      <c r="BE112" s="119"/>
      <c r="BF112" s="79">
        <v>12</v>
      </c>
      <c r="BG112" s="60"/>
      <c r="BI112" s="122"/>
      <c r="BJ112" s="122"/>
      <c r="BK112" s="125"/>
      <c r="BL112" s="122"/>
      <c r="BM112" s="100" t="b">
        <f>IF(BR81=12,7)</f>
        <v>0</v>
      </c>
      <c r="BN112" s="102"/>
      <c r="BO112" s="102"/>
      <c r="BP112" s="102"/>
      <c r="BQ112" s="102"/>
      <c r="BR112" s="102"/>
      <c r="BS112" s="102"/>
      <c r="BT112" s="102"/>
      <c r="BU112" s="102"/>
      <c r="BV112" s="102"/>
      <c r="BW112" s="86" t="b">
        <f>IF(BR81=12,17)</f>
        <v>0</v>
      </c>
      <c r="BX112" s="138"/>
      <c r="BY112" s="125"/>
      <c r="BZ112" s="139"/>
      <c r="CA112" s="122"/>
      <c r="CC112" s="60"/>
      <c r="CD112" s="60"/>
      <c r="CE112" s="62"/>
      <c r="CF112" s="62"/>
      <c r="CG112" s="62"/>
      <c r="CH112" s="62"/>
      <c r="CI112" s="62"/>
      <c r="CJ112" s="62"/>
      <c r="CK112" s="62"/>
      <c r="CL112" s="62"/>
      <c r="CM112" s="62"/>
      <c r="CN112" s="62"/>
      <c r="CO112" s="62"/>
      <c r="CP112" s="62"/>
      <c r="CQ112" s="62"/>
      <c r="CR112" s="62"/>
      <c r="CS112" s="62"/>
      <c r="CT112" s="62"/>
    </row>
    <row r="113" spans="2:98" ht="24" hidden="1" thickBot="1" x14ac:dyDescent="0.3">
      <c r="G113" s="797"/>
      <c r="O113" s="794"/>
      <c r="U113" s="109"/>
      <c r="V113" s="109"/>
      <c r="W113" s="109"/>
      <c r="X113" s="109"/>
      <c r="Y113" s="109"/>
      <c r="Z113" s="109"/>
      <c r="AA113" s="109"/>
      <c r="AB113" s="109"/>
      <c r="AC113" s="109"/>
      <c r="AD113" s="109"/>
      <c r="AE113" s="109"/>
      <c r="AF113" s="109"/>
      <c r="AG113" s="109"/>
      <c r="AH113" s="109"/>
      <c r="AI113" s="109"/>
      <c r="AJ113" s="109"/>
      <c r="AK113" s="109"/>
      <c r="AL113" s="109"/>
      <c r="AM113" s="109"/>
      <c r="AN113" s="109"/>
      <c r="AO113" s="109"/>
      <c r="AP113" s="109"/>
      <c r="AR113" s="126"/>
      <c r="AS113" s="127"/>
      <c r="AT113" s="127"/>
      <c r="AU113" s="119"/>
      <c r="AV113" s="119"/>
      <c r="AW113" s="119"/>
      <c r="AX113" s="119"/>
      <c r="BC113" s="753"/>
      <c r="BD113" s="69"/>
      <c r="BE113" s="119"/>
      <c r="BF113" s="79">
        <v>11</v>
      </c>
      <c r="BH113" s="135"/>
      <c r="BI113" s="74"/>
      <c r="BJ113" s="135"/>
      <c r="BK113" s="100" t="b">
        <f>IF(BQ81=11,5)</f>
        <v>0</v>
      </c>
      <c r="BL113" s="102"/>
      <c r="BM113" s="102"/>
      <c r="BN113" s="102"/>
      <c r="BO113" s="102"/>
      <c r="BP113" s="102"/>
      <c r="BQ113" s="102"/>
      <c r="BR113" s="102"/>
      <c r="BS113" s="102"/>
      <c r="BT113" s="102"/>
      <c r="BU113" s="102"/>
      <c r="BV113" s="102"/>
      <c r="BW113" s="86" t="b">
        <f>IF(BQ81=11,17)</f>
        <v>0</v>
      </c>
      <c r="BX113" s="136"/>
      <c r="BY113" s="74"/>
      <c r="BZ113" s="137"/>
      <c r="CB113" s="60"/>
      <c r="CC113" s="60"/>
      <c r="CD113" s="60"/>
      <c r="CE113" s="62"/>
      <c r="CF113" s="62"/>
      <c r="CG113" s="62"/>
      <c r="CH113" s="62"/>
      <c r="CI113" s="62"/>
      <c r="CJ113" s="62"/>
      <c r="CK113" s="62"/>
      <c r="CL113" s="62"/>
      <c r="CM113" s="62"/>
      <c r="CN113" s="62"/>
      <c r="CO113" s="62"/>
      <c r="CP113" s="62"/>
      <c r="CQ113" s="62"/>
      <c r="CR113" s="62"/>
      <c r="CS113" s="62"/>
      <c r="CT113" s="62"/>
    </row>
    <row r="114" spans="2:98" ht="24" hidden="1" thickBot="1" x14ac:dyDescent="0.3">
      <c r="B114" s="47"/>
      <c r="G114" s="797"/>
      <c r="O114" s="794"/>
      <c r="U114" s="109"/>
      <c r="V114" s="109"/>
      <c r="W114" s="109"/>
      <c r="X114" s="109"/>
      <c r="Y114" s="109"/>
      <c r="Z114" s="109"/>
      <c r="AA114" s="109"/>
      <c r="AB114" s="109"/>
      <c r="AC114" s="109"/>
      <c r="AD114" s="109"/>
      <c r="AE114" s="109"/>
      <c r="AF114" s="109"/>
      <c r="AG114" s="109"/>
      <c r="AH114" s="109"/>
      <c r="AI114" s="109"/>
      <c r="AJ114" s="109"/>
      <c r="AK114" s="109"/>
      <c r="AL114" s="109"/>
      <c r="AM114" s="109"/>
      <c r="AN114" s="109"/>
      <c r="AO114" s="109"/>
      <c r="AP114" s="109"/>
      <c r="AR114" s="126"/>
      <c r="AS114" s="127"/>
      <c r="AT114" s="127"/>
      <c r="AU114" s="119"/>
      <c r="AV114" s="119"/>
      <c r="AW114" s="119"/>
      <c r="AX114" s="119"/>
      <c r="BC114" s="753"/>
      <c r="BD114" s="69"/>
      <c r="BE114" s="119"/>
      <c r="BF114" s="79">
        <v>10</v>
      </c>
      <c r="BH114" s="135"/>
      <c r="BI114" s="100" t="b">
        <f>IF(BP81=10,3)</f>
        <v>0</v>
      </c>
      <c r="BJ114" s="102"/>
      <c r="BK114" s="102"/>
      <c r="BL114" s="102"/>
      <c r="BM114" s="102"/>
      <c r="BN114" s="102"/>
      <c r="BO114" s="102"/>
      <c r="BP114" s="102"/>
      <c r="BQ114" s="102"/>
      <c r="BR114" s="102"/>
      <c r="BS114" s="102"/>
      <c r="BT114" s="102"/>
      <c r="BU114" s="102"/>
      <c r="BV114" s="102"/>
      <c r="BW114" s="86" t="b">
        <f>IF(BP81=10,17)</f>
        <v>0</v>
      </c>
      <c r="BX114" s="136"/>
      <c r="BZ114" s="140"/>
      <c r="CA114" s="60"/>
      <c r="CB114" s="60"/>
      <c r="CC114" s="60"/>
      <c r="CD114" s="60"/>
      <c r="CE114" s="62"/>
      <c r="CF114" s="62"/>
      <c r="CG114" s="62"/>
      <c r="CH114" s="62"/>
      <c r="CI114" s="62"/>
      <c r="CJ114" s="62"/>
      <c r="CK114" s="62"/>
      <c r="CL114" s="62"/>
      <c r="CM114" s="62"/>
      <c r="CN114" s="62"/>
      <c r="CO114" s="62"/>
      <c r="CP114" s="62"/>
      <c r="CQ114" s="62"/>
      <c r="CR114" s="62"/>
      <c r="CS114" s="62"/>
      <c r="CT114" s="62"/>
    </row>
    <row r="115" spans="2:98" ht="24" hidden="1" thickBot="1" x14ac:dyDescent="0.3">
      <c r="G115" s="797"/>
      <c r="O115" s="794"/>
      <c r="U115" s="109"/>
      <c r="V115" s="109"/>
      <c r="W115" s="109"/>
      <c r="X115" s="109"/>
      <c r="Y115" s="109"/>
      <c r="Z115" s="109"/>
      <c r="AA115" s="109"/>
      <c r="AB115" s="109"/>
      <c r="AC115" s="109"/>
      <c r="AD115" s="109"/>
      <c r="AE115" s="109"/>
      <c r="AF115" s="109"/>
      <c r="AG115" s="109"/>
      <c r="AH115" s="109"/>
      <c r="AI115" s="109"/>
      <c r="AJ115" s="109"/>
      <c r="AK115" s="109"/>
      <c r="AL115" s="109"/>
      <c r="AM115" s="109"/>
      <c r="AN115" s="109"/>
      <c r="AO115" s="109"/>
      <c r="AP115" s="109"/>
      <c r="AR115" s="126"/>
      <c r="AS115" s="127"/>
      <c r="AT115" s="127"/>
      <c r="AV115" s="119"/>
      <c r="AW115" s="119"/>
      <c r="AX115" s="119"/>
      <c r="BC115" s="753"/>
      <c r="BD115" s="69"/>
      <c r="BE115" s="119"/>
      <c r="BF115" s="79">
        <v>9</v>
      </c>
      <c r="BG115" s="100" t="b">
        <f>IF(BO81=9,1)</f>
        <v>0</v>
      </c>
      <c r="BH115" s="102"/>
      <c r="BI115" s="102"/>
      <c r="BJ115" s="102"/>
      <c r="BK115" s="102"/>
      <c r="BL115" s="102"/>
      <c r="BM115" s="102"/>
      <c r="BN115" s="102"/>
      <c r="BO115" s="102"/>
      <c r="BP115" s="102"/>
      <c r="BQ115" s="102"/>
      <c r="BR115" s="102"/>
      <c r="BS115" s="102"/>
      <c r="BT115" s="102"/>
      <c r="BU115" s="102"/>
      <c r="BV115" s="102"/>
      <c r="BW115" s="86" t="b">
        <f>IF(BO81=9,17)</f>
        <v>0</v>
      </c>
      <c r="BX115" s="60"/>
      <c r="BY115" s="60"/>
      <c r="BZ115" s="140"/>
      <c r="CA115" s="60"/>
      <c r="CB115" s="60"/>
      <c r="CC115" s="60"/>
      <c r="CD115" s="60"/>
      <c r="CE115" s="62"/>
      <c r="CF115" s="62"/>
      <c r="CG115" s="62"/>
      <c r="CH115" s="62"/>
      <c r="CI115" s="62"/>
      <c r="CJ115" s="62"/>
      <c r="CK115" s="62"/>
      <c r="CL115" s="62"/>
      <c r="CM115" s="62"/>
      <c r="CN115" s="62"/>
      <c r="CO115" s="62"/>
      <c r="CP115" s="62"/>
      <c r="CQ115" s="62"/>
      <c r="CR115" s="62"/>
      <c r="CS115" s="62"/>
      <c r="CT115" s="62"/>
    </row>
    <row r="116" spans="2:98" ht="24" hidden="1" thickBot="1" x14ac:dyDescent="0.3">
      <c r="G116" s="797"/>
      <c r="O116" s="794"/>
      <c r="U116" s="109"/>
      <c r="V116" s="109"/>
      <c r="W116" s="109"/>
      <c r="X116" s="109"/>
      <c r="Y116" s="109"/>
      <c r="Z116" s="109"/>
      <c r="AA116" s="109"/>
      <c r="AB116" s="109"/>
      <c r="AC116" s="109"/>
      <c r="AD116" s="109"/>
      <c r="AE116" s="109"/>
      <c r="AF116" s="109"/>
      <c r="AG116" s="109"/>
      <c r="AH116" s="109"/>
      <c r="AI116" s="109"/>
      <c r="AJ116" s="109"/>
      <c r="AK116" s="109"/>
      <c r="AL116" s="109"/>
      <c r="AM116" s="109"/>
      <c r="AN116" s="109"/>
      <c r="AO116" s="109"/>
      <c r="AP116" s="109"/>
      <c r="AR116" s="126"/>
      <c r="AS116" s="127"/>
      <c r="AT116" s="127"/>
      <c r="AU116" s="119"/>
      <c r="AV116" s="119"/>
      <c r="AW116" s="119"/>
      <c r="AX116" s="119"/>
      <c r="BC116" s="753"/>
      <c r="BD116" s="69"/>
      <c r="BE116" s="119"/>
      <c r="BF116" s="79">
        <v>8</v>
      </c>
      <c r="BG116" s="100" t="b">
        <f>IF(BN81=8,1)</f>
        <v>0</v>
      </c>
      <c r="BH116" s="102"/>
      <c r="BI116" s="101"/>
      <c r="BJ116" s="102"/>
      <c r="BK116" s="102"/>
      <c r="BL116" s="102"/>
      <c r="BM116" s="102"/>
      <c r="BN116" s="102"/>
      <c r="BO116" s="102"/>
      <c r="BP116" s="102"/>
      <c r="BQ116" s="102"/>
      <c r="BR116" s="102"/>
      <c r="BS116" s="101"/>
      <c r="BT116" s="102"/>
      <c r="BU116" s="86" t="b">
        <f>IF(BN81=8,15)</f>
        <v>0</v>
      </c>
      <c r="BV116" s="60"/>
      <c r="BW116" s="60"/>
      <c r="BX116" s="141"/>
      <c r="BY116" s="60"/>
      <c r="BZ116" s="140"/>
      <c r="CA116" s="60"/>
      <c r="CB116" s="60"/>
      <c r="CC116" s="60"/>
      <c r="CD116" s="60"/>
      <c r="CE116" s="62"/>
      <c r="CF116" s="62"/>
      <c r="CG116" s="62"/>
      <c r="CH116" s="62"/>
      <c r="CI116" s="62"/>
      <c r="CJ116" s="62"/>
      <c r="CK116" s="62"/>
      <c r="CL116" s="62"/>
      <c r="CM116" s="62"/>
      <c r="CN116" s="62"/>
      <c r="CO116" s="62"/>
      <c r="CP116" s="62"/>
      <c r="CQ116" s="62"/>
      <c r="CR116" s="62"/>
      <c r="CS116" s="62"/>
      <c r="CT116" s="62"/>
    </row>
    <row r="117" spans="2:98" ht="24" hidden="1" thickBot="1" x14ac:dyDescent="0.3">
      <c r="G117" s="797"/>
      <c r="O117" s="794"/>
      <c r="U117" s="109"/>
      <c r="V117" s="109"/>
      <c r="W117" s="109"/>
      <c r="X117" s="109"/>
      <c r="Y117" s="109"/>
      <c r="Z117" s="109"/>
      <c r="AA117" s="109"/>
      <c r="AB117" s="109"/>
      <c r="AC117" s="109"/>
      <c r="AD117" s="109"/>
      <c r="AE117" s="109"/>
      <c r="AF117" s="109"/>
      <c r="AG117" s="109"/>
      <c r="AH117" s="109"/>
      <c r="AI117" s="109"/>
      <c r="AJ117" s="109"/>
      <c r="AK117" s="109"/>
      <c r="AL117" s="109"/>
      <c r="AM117" s="109"/>
      <c r="AN117" s="109"/>
      <c r="AO117" s="109"/>
      <c r="AP117" s="109"/>
      <c r="AR117" s="126"/>
      <c r="AS117" s="127"/>
      <c r="AT117" s="127"/>
      <c r="AV117" s="119"/>
      <c r="AW117" s="119"/>
      <c r="AX117" s="119"/>
      <c r="BC117" s="753"/>
      <c r="BD117" s="69"/>
      <c r="BE117" s="119"/>
      <c r="BF117" s="79">
        <v>7</v>
      </c>
      <c r="BG117" s="100" t="b">
        <f>IF(BM81=7,1)</f>
        <v>0</v>
      </c>
      <c r="BH117" s="101"/>
      <c r="BI117" s="102"/>
      <c r="BJ117" s="102"/>
      <c r="BK117" s="102"/>
      <c r="BL117" s="102"/>
      <c r="BM117" s="102"/>
      <c r="BN117" s="102"/>
      <c r="BO117" s="102"/>
      <c r="BP117" s="102"/>
      <c r="BQ117" s="101"/>
      <c r="BR117" s="101"/>
      <c r="BS117" s="86" t="b">
        <f>IF(BM81=7,13)</f>
        <v>0</v>
      </c>
      <c r="BT117" s="60"/>
      <c r="BU117" s="60"/>
      <c r="BV117" s="60"/>
      <c r="BW117" s="60"/>
      <c r="BX117" s="141"/>
      <c r="BY117" s="60"/>
      <c r="BZ117" s="140"/>
      <c r="CA117" s="60"/>
      <c r="CB117" s="60"/>
      <c r="CC117" s="60"/>
      <c r="CD117" s="60"/>
      <c r="CE117" s="62"/>
      <c r="CF117" s="62"/>
      <c r="CG117" s="62"/>
      <c r="CH117" s="62"/>
      <c r="CI117" s="62"/>
      <c r="CJ117" s="62"/>
      <c r="CK117" s="62"/>
      <c r="CL117" s="62"/>
      <c r="CM117" s="62"/>
      <c r="CN117" s="62"/>
      <c r="CO117" s="62"/>
      <c r="CP117" s="62"/>
      <c r="CQ117" s="62"/>
      <c r="CR117" s="62"/>
      <c r="CS117" s="62"/>
      <c r="CT117" s="62"/>
    </row>
    <row r="118" spans="2:98" ht="24" hidden="1" thickBot="1" x14ac:dyDescent="0.3">
      <c r="G118" s="797"/>
      <c r="O118" s="794"/>
      <c r="U118" s="109"/>
      <c r="V118" s="109"/>
      <c r="W118" s="109"/>
      <c r="X118" s="109"/>
      <c r="Y118" s="109"/>
      <c r="Z118" s="109"/>
      <c r="AA118" s="109"/>
      <c r="AB118" s="109"/>
      <c r="AC118" s="109"/>
      <c r="AD118" s="109"/>
      <c r="AE118" s="109"/>
      <c r="AF118" s="109"/>
      <c r="AG118" s="109"/>
      <c r="AH118" s="109"/>
      <c r="AI118" s="109"/>
      <c r="AJ118" s="109"/>
      <c r="AK118" s="109"/>
      <c r="AL118" s="109"/>
      <c r="AM118" s="109"/>
      <c r="AN118" s="109"/>
      <c r="AO118" s="109"/>
      <c r="AP118" s="109"/>
      <c r="AR118" s="126"/>
      <c r="AS118" s="127"/>
      <c r="AT118" s="127"/>
      <c r="AV118" s="119"/>
      <c r="AW118" s="119"/>
      <c r="AX118" s="119"/>
      <c r="BC118" s="753"/>
      <c r="BD118" s="69"/>
      <c r="BE118" s="119"/>
      <c r="BF118" s="79">
        <v>6</v>
      </c>
      <c r="BG118" s="103" t="b">
        <f>IF(BL81=6,1)</f>
        <v>0</v>
      </c>
      <c r="BH118" s="106"/>
      <c r="BI118" s="106"/>
      <c r="BJ118" s="106"/>
      <c r="BK118" s="106"/>
      <c r="BL118" s="106"/>
      <c r="BM118" s="106"/>
      <c r="BN118" s="106"/>
      <c r="BO118" s="106"/>
      <c r="BP118" s="106"/>
      <c r="BQ118" s="107" t="b">
        <f>IF(BL81=6,11)</f>
        <v>0</v>
      </c>
      <c r="BR118" s="60"/>
      <c r="BS118" s="60"/>
      <c r="BT118" s="60"/>
      <c r="BU118" s="60"/>
      <c r="BV118" s="60"/>
      <c r="BW118" s="60"/>
      <c r="BX118" s="141"/>
      <c r="BY118" s="60"/>
      <c r="BZ118" s="140"/>
      <c r="CA118" s="60"/>
      <c r="CB118" s="60"/>
      <c r="CC118" s="60"/>
      <c r="CD118" s="60"/>
      <c r="CE118" s="62"/>
      <c r="CF118" s="62"/>
      <c r="CG118" s="62"/>
      <c r="CH118" s="62"/>
      <c r="CI118" s="62"/>
      <c r="CJ118" s="62"/>
      <c r="CK118" s="62"/>
      <c r="CL118" s="62"/>
      <c r="CM118" s="62"/>
      <c r="CN118" s="62"/>
      <c r="CO118" s="62"/>
      <c r="CP118" s="62"/>
      <c r="CQ118" s="62"/>
      <c r="CR118" s="62"/>
      <c r="CS118" s="62"/>
      <c r="CT118" s="62"/>
    </row>
    <row r="119" spans="2:98" ht="24" hidden="1" thickBot="1" x14ac:dyDescent="0.3">
      <c r="G119" s="797"/>
      <c r="O119" s="794"/>
      <c r="U119" s="109"/>
      <c r="V119" s="109"/>
      <c r="W119" s="109"/>
      <c r="X119" s="109"/>
      <c r="Y119" s="109"/>
      <c r="Z119" s="109"/>
      <c r="AA119" s="109"/>
      <c r="AB119" s="109"/>
      <c r="AC119" s="109"/>
      <c r="AD119" s="109"/>
      <c r="AE119" s="109"/>
      <c r="AF119" s="109"/>
      <c r="AG119" s="109"/>
      <c r="AH119" s="109"/>
      <c r="AI119" s="109"/>
      <c r="AJ119" s="109"/>
      <c r="AK119" s="109"/>
      <c r="AL119" s="109"/>
      <c r="AM119" s="109"/>
      <c r="AN119" s="109"/>
      <c r="AO119" s="109"/>
      <c r="AP119" s="109"/>
      <c r="AR119" s="126"/>
      <c r="AS119" s="127"/>
      <c r="AT119" s="127"/>
      <c r="AU119" s="119"/>
      <c r="AV119" s="119"/>
      <c r="AW119" s="119"/>
      <c r="AX119" s="119"/>
      <c r="BC119" s="753"/>
      <c r="BD119" s="69"/>
      <c r="BE119" s="119"/>
      <c r="BF119" s="79">
        <v>5</v>
      </c>
      <c r="BG119" s="103" t="b">
        <f>IF(BK81=5,1)</f>
        <v>0</v>
      </c>
      <c r="BH119" s="105"/>
      <c r="BI119" s="106"/>
      <c r="BJ119" s="106"/>
      <c r="BK119" s="106"/>
      <c r="BL119" s="106"/>
      <c r="BM119" s="106"/>
      <c r="BN119" s="105"/>
      <c r="BO119" s="107" t="b">
        <f>IF(BK81=5,9)</f>
        <v>0</v>
      </c>
      <c r="BP119" s="60"/>
      <c r="BQ119" s="60"/>
      <c r="BR119" s="60"/>
      <c r="BS119" s="60"/>
      <c r="BT119" s="60"/>
      <c r="BU119" s="60"/>
      <c r="BV119" s="60"/>
      <c r="BW119" s="60"/>
      <c r="BX119" s="141"/>
      <c r="BY119" s="60"/>
      <c r="BZ119" s="140"/>
      <c r="CA119" s="60"/>
      <c r="CB119" s="60"/>
      <c r="CC119" s="60"/>
      <c r="CD119" s="60"/>
      <c r="CE119" s="62"/>
      <c r="CF119" s="62"/>
      <c r="CG119" s="62"/>
      <c r="CH119" s="62"/>
      <c r="CI119" s="62"/>
      <c r="CJ119" s="62"/>
      <c r="CK119" s="62"/>
      <c r="CL119" s="62"/>
      <c r="CM119" s="62"/>
      <c r="CN119" s="62"/>
      <c r="CO119" s="62"/>
      <c r="CP119" s="62"/>
      <c r="CQ119" s="62"/>
      <c r="CR119" s="62"/>
      <c r="CS119" s="62"/>
      <c r="CT119" s="62"/>
    </row>
    <row r="120" spans="2:98" ht="24" hidden="1" thickBot="1" x14ac:dyDescent="0.3">
      <c r="G120" s="797"/>
      <c r="O120" s="794"/>
      <c r="U120" s="109"/>
      <c r="V120" s="109"/>
      <c r="W120" s="109"/>
      <c r="X120" s="109"/>
      <c r="Y120" s="109"/>
      <c r="Z120" s="109"/>
      <c r="AA120" s="109"/>
      <c r="AB120" s="109"/>
      <c r="AC120" s="109"/>
      <c r="AD120" s="109"/>
      <c r="AE120" s="109"/>
      <c r="AF120" s="109"/>
      <c r="AG120" s="109"/>
      <c r="AH120" s="109"/>
      <c r="AI120" s="109"/>
      <c r="AJ120" s="109"/>
      <c r="AK120" s="109"/>
      <c r="AL120" s="109"/>
      <c r="AM120" s="109"/>
      <c r="AN120" s="109"/>
      <c r="AO120" s="109"/>
      <c r="AP120" s="109"/>
      <c r="AR120" s="126"/>
      <c r="AS120" s="127"/>
      <c r="AT120" s="127"/>
      <c r="AV120" s="119"/>
      <c r="AW120" s="119"/>
      <c r="AX120" s="119"/>
      <c r="BC120" s="753"/>
      <c r="BD120" s="69"/>
      <c r="BE120" s="119"/>
      <c r="BF120" s="79">
        <v>4</v>
      </c>
      <c r="BG120" s="103" t="b">
        <f>IF(BJ81=4,1)</f>
        <v>0</v>
      </c>
      <c r="BH120" s="106"/>
      <c r="BI120" s="106"/>
      <c r="BJ120" s="106"/>
      <c r="BK120" s="106"/>
      <c r="BL120" s="106"/>
      <c r="BM120" s="107" t="b">
        <f>IF(BJ81=4,7)</f>
        <v>0</v>
      </c>
      <c r="BN120" s="60"/>
      <c r="BO120" s="142"/>
      <c r="BP120" s="142"/>
      <c r="BQ120" s="60"/>
      <c r="BR120" s="142"/>
      <c r="BS120" s="60"/>
      <c r="BT120" s="60"/>
      <c r="BU120" s="60"/>
      <c r="BV120" s="60"/>
      <c r="BW120" s="60"/>
      <c r="BX120" s="141"/>
      <c r="BY120" s="60"/>
      <c r="BZ120" s="140"/>
      <c r="CA120" s="60"/>
      <c r="CB120" s="60"/>
      <c r="CC120" s="60"/>
      <c r="CD120" s="60"/>
      <c r="CE120" s="62"/>
      <c r="CF120" s="62"/>
      <c r="CG120" s="62"/>
      <c r="CH120" s="62"/>
      <c r="CI120" s="62"/>
      <c r="CJ120" s="62"/>
      <c r="CK120" s="62"/>
      <c r="CL120" s="62"/>
      <c r="CM120" s="62"/>
      <c r="CN120" s="62"/>
      <c r="CO120" s="62"/>
      <c r="CP120" s="62"/>
      <c r="CQ120" s="62"/>
      <c r="CR120" s="62"/>
      <c r="CS120" s="62"/>
      <c r="CT120" s="62"/>
    </row>
    <row r="121" spans="2:98" ht="24" hidden="1" thickBot="1" x14ac:dyDescent="0.3">
      <c r="G121" s="797"/>
      <c r="O121" s="794"/>
      <c r="U121" s="109"/>
      <c r="V121" s="109"/>
      <c r="W121" s="109"/>
      <c r="X121" s="109"/>
      <c r="Y121" s="109"/>
      <c r="Z121" s="109"/>
      <c r="AA121" s="109"/>
      <c r="AB121" s="109"/>
      <c r="AC121" s="109"/>
      <c r="AD121" s="109"/>
      <c r="AE121" s="109"/>
      <c r="AF121" s="109"/>
      <c r="AG121" s="109"/>
      <c r="AH121" s="109"/>
      <c r="AI121" s="109"/>
      <c r="AJ121" s="109"/>
      <c r="AK121" s="109"/>
      <c r="AL121" s="109"/>
      <c r="AM121" s="109"/>
      <c r="AN121" s="109"/>
      <c r="AO121" s="109"/>
      <c r="AP121" s="109"/>
      <c r="AR121" s="126"/>
      <c r="AS121" s="127"/>
      <c r="AT121" s="127"/>
      <c r="AU121" s="119"/>
      <c r="AV121" s="119"/>
      <c r="AW121" s="119"/>
      <c r="AX121" s="119"/>
      <c r="BC121" s="753"/>
      <c r="BD121" s="69"/>
      <c r="BE121" s="119"/>
      <c r="BF121" s="79">
        <v>3</v>
      </c>
      <c r="BG121" s="103" t="b">
        <f>IF(BI81=3,1)</f>
        <v>0</v>
      </c>
      <c r="BH121" s="106"/>
      <c r="BI121" s="106"/>
      <c r="BJ121" s="106"/>
      <c r="BK121" s="107" t="b">
        <f>IF(BI81=3,5)</f>
        <v>0</v>
      </c>
      <c r="BL121" s="60"/>
      <c r="BM121" s="60"/>
      <c r="BN121" s="60"/>
      <c r="BO121" s="60"/>
      <c r="BP121" s="60"/>
      <c r="BQ121" s="60"/>
      <c r="BR121" s="60"/>
      <c r="BS121" s="60"/>
      <c r="BT121" s="60"/>
      <c r="BU121" s="60"/>
      <c r="BV121" s="60"/>
      <c r="BW121" s="60"/>
      <c r="BX121" s="141"/>
      <c r="BY121" s="60"/>
      <c r="BZ121" s="140"/>
      <c r="CA121" s="60"/>
      <c r="CB121" s="60"/>
      <c r="CC121" s="60"/>
      <c r="CD121" s="60"/>
      <c r="CE121" s="62"/>
      <c r="CF121" s="62"/>
      <c r="CG121" s="62"/>
      <c r="CH121" s="62"/>
      <c r="CI121" s="62"/>
      <c r="CJ121" s="62"/>
      <c r="CK121" s="62"/>
      <c r="CL121" s="62"/>
      <c r="CM121" s="62"/>
      <c r="CN121" s="62"/>
      <c r="CO121" s="62"/>
      <c r="CP121" s="62"/>
      <c r="CQ121" s="62"/>
      <c r="CR121" s="62"/>
      <c r="CS121" s="62"/>
      <c r="CT121" s="62"/>
    </row>
    <row r="122" spans="2:98" ht="23" hidden="1" x14ac:dyDescent="0.25">
      <c r="G122" s="797"/>
      <c r="O122" s="794"/>
      <c r="U122" s="109"/>
      <c r="V122" s="109"/>
      <c r="W122" s="109"/>
      <c r="X122" s="109"/>
      <c r="Y122" s="109"/>
      <c r="Z122" s="109"/>
      <c r="AA122" s="109"/>
      <c r="AB122" s="109"/>
      <c r="AC122" s="109"/>
      <c r="AD122" s="109"/>
      <c r="AE122" s="109"/>
      <c r="AF122" s="109"/>
      <c r="AG122" s="109"/>
      <c r="AH122" s="109"/>
      <c r="AI122" s="109"/>
      <c r="AJ122" s="109"/>
      <c r="AK122" s="109"/>
      <c r="AL122" s="109"/>
      <c r="AM122" s="109"/>
      <c r="AN122" s="109"/>
      <c r="AO122" s="109"/>
      <c r="AP122" s="109"/>
      <c r="AR122" s="126"/>
      <c r="AS122" s="127"/>
      <c r="AT122" s="127"/>
      <c r="AU122" s="119"/>
      <c r="AV122" s="119"/>
      <c r="AW122" s="119"/>
      <c r="AX122" s="119"/>
      <c r="BC122" s="753"/>
      <c r="BD122" s="69"/>
      <c r="BE122" s="119"/>
      <c r="BF122" s="79">
        <v>2</v>
      </c>
      <c r="BG122" s="143" t="b">
        <f>IF(BH81=2,1)</f>
        <v>0</v>
      </c>
      <c r="BH122" s="144"/>
      <c r="BI122" s="145" t="b">
        <f>IF(BH81=2,3)</f>
        <v>0</v>
      </c>
      <c r="BJ122" s="60"/>
      <c r="BK122" s="60"/>
      <c r="BL122" s="60"/>
      <c r="BM122" s="60"/>
      <c r="BN122" s="60"/>
      <c r="BO122" s="60"/>
      <c r="BP122" s="60"/>
      <c r="BQ122" s="60"/>
      <c r="BR122" s="60"/>
      <c r="BS122" s="60"/>
      <c r="BT122" s="60"/>
      <c r="BU122" s="60"/>
      <c r="BV122" s="60"/>
      <c r="BW122" s="60"/>
      <c r="BX122" s="141"/>
      <c r="BY122" s="60"/>
      <c r="BZ122" s="140"/>
      <c r="CA122" s="60"/>
      <c r="CB122" s="60"/>
      <c r="CC122" s="60"/>
      <c r="CD122" s="60"/>
      <c r="CE122" s="62"/>
      <c r="CF122" s="62"/>
      <c r="CG122" s="62"/>
      <c r="CH122" s="62"/>
      <c r="CI122" s="62"/>
      <c r="CJ122" s="62"/>
      <c r="CK122" s="62"/>
      <c r="CL122" s="62"/>
      <c r="CM122" s="62"/>
      <c r="CN122" s="62"/>
      <c r="CO122" s="62"/>
      <c r="CP122" s="62"/>
      <c r="CQ122" s="62"/>
      <c r="CR122" s="62"/>
      <c r="CS122" s="62"/>
      <c r="CT122" s="62"/>
    </row>
    <row r="123" spans="2:98" ht="24" hidden="1" thickBot="1" x14ac:dyDescent="0.3">
      <c r="G123" s="797"/>
      <c r="O123" s="794"/>
      <c r="U123" s="109"/>
      <c r="V123" s="109"/>
      <c r="W123" s="109"/>
      <c r="X123" s="109"/>
      <c r="Y123" s="109"/>
      <c r="Z123" s="109"/>
      <c r="AA123" s="109"/>
      <c r="AB123" s="109"/>
      <c r="AC123" s="109"/>
      <c r="AD123" s="109"/>
      <c r="AE123" s="109"/>
      <c r="AF123" s="109"/>
      <c r="AG123" s="109"/>
      <c r="AH123" s="109"/>
      <c r="AI123" s="109"/>
      <c r="AJ123" s="109"/>
      <c r="AK123" s="109"/>
      <c r="AL123" s="109"/>
      <c r="AM123" s="109"/>
      <c r="AN123" s="109"/>
      <c r="AO123" s="109"/>
      <c r="AP123" s="109"/>
      <c r="AR123" s="126"/>
      <c r="AS123" s="127"/>
      <c r="AT123" s="127"/>
      <c r="AU123" s="119"/>
      <c r="AV123" s="119"/>
      <c r="AW123" s="119"/>
      <c r="AX123" s="119"/>
      <c r="BC123" s="753"/>
      <c r="BD123" s="69"/>
      <c r="BE123" s="119"/>
      <c r="BF123" s="146"/>
      <c r="BG123" s="147">
        <f t="shared" ref="BG123:BW123" si="3">SUM(BG88:BG122)</f>
        <v>0</v>
      </c>
      <c r="BH123" s="147">
        <f t="shared" si="3"/>
        <v>0</v>
      </c>
      <c r="BI123" s="147">
        <f t="shared" si="3"/>
        <v>0</v>
      </c>
      <c r="BJ123" s="147">
        <f t="shared" si="3"/>
        <v>0</v>
      </c>
      <c r="BK123" s="147">
        <f t="shared" si="3"/>
        <v>0</v>
      </c>
      <c r="BL123" s="147">
        <f t="shared" si="3"/>
        <v>0</v>
      </c>
      <c r="BM123" s="147">
        <f t="shared" si="3"/>
        <v>0</v>
      </c>
      <c r="BN123" s="147">
        <f t="shared" si="3"/>
        <v>0</v>
      </c>
      <c r="BO123" s="147">
        <f t="shared" si="3"/>
        <v>0</v>
      </c>
      <c r="BP123" s="147">
        <f t="shared" si="3"/>
        <v>10</v>
      </c>
      <c r="BQ123" s="147">
        <f t="shared" si="3"/>
        <v>0</v>
      </c>
      <c r="BR123" s="147">
        <f t="shared" si="3"/>
        <v>0</v>
      </c>
      <c r="BS123" s="147">
        <f t="shared" si="3"/>
        <v>0</v>
      </c>
      <c r="BT123" s="147">
        <f t="shared" si="3"/>
        <v>0</v>
      </c>
      <c r="BU123" s="147">
        <f t="shared" si="3"/>
        <v>0</v>
      </c>
      <c r="BV123" s="147">
        <f t="shared" si="3"/>
        <v>0</v>
      </c>
      <c r="BW123" s="148">
        <f t="shared" si="3"/>
        <v>0</v>
      </c>
      <c r="BX123" s="149"/>
      <c r="BY123" s="150"/>
      <c r="BZ123" s="151"/>
      <c r="CA123" s="630">
        <f t="shared" ref="CA123:CQ123" si="4">SUM(CA88:CA122)</f>
        <v>0</v>
      </c>
      <c r="CB123" s="147">
        <f t="shared" si="4"/>
        <v>0</v>
      </c>
      <c r="CC123" s="147">
        <f t="shared" si="4"/>
        <v>0</v>
      </c>
      <c r="CD123" s="147">
        <f t="shared" si="4"/>
        <v>0</v>
      </c>
      <c r="CE123" s="147">
        <f t="shared" si="4"/>
        <v>0</v>
      </c>
      <c r="CF123" s="147">
        <f t="shared" si="4"/>
        <v>26</v>
      </c>
      <c r="CG123" s="147">
        <f t="shared" si="4"/>
        <v>0</v>
      </c>
      <c r="CH123" s="147">
        <f t="shared" si="4"/>
        <v>0</v>
      </c>
      <c r="CI123" s="147">
        <f t="shared" si="4"/>
        <v>0</v>
      </c>
      <c r="CJ123" s="147">
        <f t="shared" si="4"/>
        <v>0</v>
      </c>
      <c r="CK123" s="147">
        <f t="shared" si="4"/>
        <v>0</v>
      </c>
      <c r="CL123" s="147">
        <f t="shared" si="4"/>
        <v>0</v>
      </c>
      <c r="CM123" s="147">
        <f t="shared" si="4"/>
        <v>0</v>
      </c>
      <c r="CN123" s="147">
        <f t="shared" si="4"/>
        <v>0</v>
      </c>
      <c r="CO123" s="147">
        <f t="shared" si="4"/>
        <v>0</v>
      </c>
      <c r="CP123" s="147">
        <f t="shared" si="4"/>
        <v>0</v>
      </c>
      <c r="CQ123" s="147">
        <f t="shared" si="4"/>
        <v>0</v>
      </c>
      <c r="CR123" s="62"/>
      <c r="CS123" s="62"/>
      <c r="CT123" s="62"/>
    </row>
    <row r="124" spans="2:98" ht="145.5" customHeight="1" thickBot="1" x14ac:dyDescent="0.3">
      <c r="G124" s="797"/>
      <c r="I124" s="808" t="s">
        <v>192</v>
      </c>
      <c r="J124" s="808" t="s">
        <v>191</v>
      </c>
      <c r="K124" s="774" t="s">
        <v>193</v>
      </c>
      <c r="L124" s="775" t="s">
        <v>194</v>
      </c>
      <c r="M124" s="784" t="s">
        <v>198</v>
      </c>
      <c r="O124" s="794"/>
      <c r="U124" s="109"/>
      <c r="V124" s="109"/>
      <c r="W124" s="109"/>
      <c r="X124" s="109"/>
      <c r="Y124" s="109"/>
      <c r="Z124" s="109"/>
      <c r="AA124" s="109"/>
      <c r="AB124" s="109"/>
      <c r="AC124" s="109"/>
      <c r="AD124" s="109"/>
      <c r="AE124" s="109"/>
      <c r="AF124" s="109"/>
      <c r="AG124" s="109"/>
      <c r="AH124" s="109"/>
      <c r="AI124" s="109"/>
      <c r="AJ124" s="109"/>
      <c r="AK124" s="109"/>
      <c r="AL124" s="109"/>
      <c r="AM124" s="109"/>
      <c r="AN124" s="109"/>
      <c r="AO124" s="109"/>
      <c r="AP124" s="109"/>
      <c r="AR124" s="126"/>
      <c r="AS124" s="127"/>
      <c r="AT124" s="127"/>
      <c r="AU124" s="119"/>
      <c r="AV124" s="119"/>
      <c r="AW124" s="119"/>
      <c r="AX124" s="119"/>
      <c r="BC124" s="753"/>
      <c r="BD124" s="69"/>
      <c r="BE124" s="119"/>
      <c r="BF124" s="146"/>
      <c r="BG124" s="153"/>
      <c r="BH124" s="153"/>
      <c r="BI124" s="153"/>
      <c r="BJ124" s="153"/>
      <c r="BK124" s="153"/>
      <c r="BL124" s="153"/>
      <c r="BM124" s="153"/>
      <c r="BN124" s="153"/>
      <c r="BO124" s="153"/>
      <c r="BP124" s="153"/>
      <c r="BQ124" s="153"/>
      <c r="BR124" s="153"/>
      <c r="BS124" s="153"/>
      <c r="BT124" s="153"/>
      <c r="BU124" s="153"/>
      <c r="BV124" s="153"/>
      <c r="BW124" s="153"/>
      <c r="BX124" s="153"/>
      <c r="BY124" s="153"/>
      <c r="BZ124" s="153"/>
      <c r="CA124" s="153"/>
      <c r="CB124" s="153"/>
      <c r="CC124" s="153"/>
      <c r="CD124" s="153"/>
      <c r="CE124" s="153"/>
      <c r="CF124" s="153"/>
      <c r="CG124" s="153"/>
      <c r="CH124" s="153"/>
      <c r="CI124" s="153"/>
      <c r="CJ124" s="153"/>
      <c r="CK124" s="153"/>
      <c r="CL124" s="153"/>
      <c r="CM124" s="153"/>
      <c r="CN124" s="153"/>
      <c r="CO124" s="153"/>
      <c r="CP124" s="153"/>
      <c r="CQ124" s="153"/>
      <c r="CR124" s="62"/>
      <c r="CS124" s="62"/>
      <c r="CT124" s="62"/>
    </row>
    <row r="125" spans="2:98" ht="44.25" customHeight="1" thickBot="1" x14ac:dyDescent="0.3">
      <c r="G125" s="797"/>
      <c r="I125" s="768" t="s">
        <v>185</v>
      </c>
      <c r="J125" s="773" t="s">
        <v>184</v>
      </c>
      <c r="K125" s="772" t="s">
        <v>112</v>
      </c>
      <c r="L125" s="776" t="s">
        <v>112</v>
      </c>
      <c r="M125" s="785" t="s">
        <v>112</v>
      </c>
      <c r="O125" s="794"/>
      <c r="U125" s="109"/>
      <c r="V125" s="109"/>
      <c r="W125" s="109"/>
      <c r="X125" s="109"/>
      <c r="Y125" s="109"/>
      <c r="Z125" s="109"/>
      <c r="AA125" s="109"/>
      <c r="AB125" s="109"/>
      <c r="AC125" s="109"/>
      <c r="AD125" s="109"/>
      <c r="AE125" s="109"/>
      <c r="AF125" s="109"/>
      <c r="AG125" s="109"/>
      <c r="AH125" s="109"/>
      <c r="AI125" s="109"/>
      <c r="AJ125" s="109"/>
      <c r="AK125" s="109"/>
      <c r="AL125" s="109"/>
      <c r="AM125" s="109"/>
      <c r="AN125" s="109"/>
      <c r="AO125" s="109"/>
      <c r="AP125" s="109"/>
      <c r="AR125" s="126"/>
      <c r="AS125" s="127"/>
      <c r="AT125" s="127"/>
      <c r="AU125" s="119"/>
      <c r="AV125" s="119"/>
      <c r="AW125" s="119"/>
      <c r="AX125" s="119"/>
      <c r="BC125" s="754"/>
      <c r="BD125" s="69"/>
      <c r="BE125" s="866" t="s">
        <v>112</v>
      </c>
      <c r="BF125" s="155" t="s">
        <v>109</v>
      </c>
      <c r="BG125" s="593" t="str">
        <f>IF(BG123=1,17,"")</f>
        <v/>
      </c>
      <c r="BH125" s="594" t="str">
        <f>IF(BH123=2,16,"")</f>
        <v/>
      </c>
      <c r="BI125" s="594" t="str">
        <f>IF(BI123=3,15,"")</f>
        <v/>
      </c>
      <c r="BJ125" s="594" t="str">
        <f>IF(BJ123=4,14,"")</f>
        <v/>
      </c>
      <c r="BK125" s="594" t="str">
        <f>IF(BK123=5,13,"")</f>
        <v/>
      </c>
      <c r="BL125" s="594" t="str">
        <f>IF(BL123=6,12,"")</f>
        <v/>
      </c>
      <c r="BM125" s="594" t="str">
        <f>IF(BM123=7,11,"")</f>
        <v/>
      </c>
      <c r="BN125" s="594" t="str">
        <f>IF(BN123=8,10,"")</f>
        <v/>
      </c>
      <c r="BO125" s="594" t="str">
        <f>IF(BO123=9,9,"")</f>
        <v/>
      </c>
      <c r="BP125" s="594">
        <f>IF(BP123=10,8,"")</f>
        <v>8</v>
      </c>
      <c r="BQ125" s="594" t="str">
        <f>IF(BQ123=11,7,"")</f>
        <v/>
      </c>
      <c r="BR125" s="595" t="str">
        <f>IF(BR123=12,"6  ADS ","")</f>
        <v/>
      </c>
      <c r="BS125" s="594" t="str">
        <f>IF(BS123=13,5,"")</f>
        <v/>
      </c>
      <c r="BT125" s="594" t="str">
        <f>IF(BT123=14,4,"")</f>
        <v/>
      </c>
      <c r="BU125" s="594" t="str">
        <f>IF(BU123=15,3,"")</f>
        <v/>
      </c>
      <c r="BV125" s="594" t="str">
        <f>IF(BV123=16,2,"")</f>
        <v/>
      </c>
      <c r="BW125" s="594" t="str">
        <f>IF(BW123=17,1,"")</f>
        <v/>
      </c>
      <c r="BX125" s="156"/>
      <c r="BY125" s="157"/>
      <c r="BZ125" s="158"/>
      <c r="CA125" s="635" t="str">
        <f>IF(CA123=21,1,"")</f>
        <v/>
      </c>
      <c r="CB125" s="596" t="str">
        <f>IF(CB123=22,2,"")</f>
        <v/>
      </c>
      <c r="CC125" s="596" t="str">
        <f>IF(CC123=23,3,"")</f>
        <v/>
      </c>
      <c r="CD125" s="596" t="str">
        <f>IF(CD123=24,4,"")</f>
        <v/>
      </c>
      <c r="CE125" s="596" t="str">
        <f>IF(CE123=25,5,"")</f>
        <v/>
      </c>
      <c r="CF125" s="597" t="str">
        <f>IF(CF123=26,"6  ADS ","")</f>
        <v xml:space="preserve">6  ADS </v>
      </c>
      <c r="CG125" s="596" t="str">
        <f>IF(CG123=27,7,"")</f>
        <v/>
      </c>
      <c r="CH125" s="596" t="str">
        <f>IF(CH123=28,8,"")</f>
        <v/>
      </c>
      <c r="CI125" s="596" t="str">
        <f>IF(CI123=29,9,"")</f>
        <v/>
      </c>
      <c r="CJ125" s="596" t="str">
        <f>IF(CJ123=30,10,"")</f>
        <v/>
      </c>
      <c r="CK125" s="596" t="str">
        <f>IF(CK123=31,11,"")</f>
        <v/>
      </c>
      <c r="CL125" s="596" t="str">
        <f>IF(CL123=32,12,"")</f>
        <v/>
      </c>
      <c r="CM125" s="596" t="str">
        <f>IF(CM123=33,13,"")</f>
        <v/>
      </c>
      <c r="CN125" s="596" t="str">
        <f>IF(CN123=34,14,"")</f>
        <v/>
      </c>
      <c r="CO125" s="596" t="str">
        <f>IF(CO123=35,15,"")</f>
        <v/>
      </c>
      <c r="CP125" s="788" t="str">
        <f>IF(CP123=36,16,"")</f>
        <v/>
      </c>
      <c r="CQ125" s="598" t="str">
        <f>IF(CQ123=37,17,"")</f>
        <v/>
      </c>
      <c r="CR125" s="159"/>
      <c r="CS125" s="62"/>
      <c r="CT125" s="62"/>
    </row>
    <row r="126" spans="2:98" ht="50.25" customHeight="1" thickBot="1" x14ac:dyDescent="0.3">
      <c r="G126" s="797"/>
      <c r="H126" s="832" t="s">
        <v>210</v>
      </c>
      <c r="I126" s="778">
        <f>+MIN(K31:L32)</f>
        <v>114.81938835223986</v>
      </c>
      <c r="J126" s="778">
        <f>+MIN(J37:K38)</f>
        <v>163.52925026532708</v>
      </c>
      <c r="K126" s="777">
        <f>+MIN(J43:L44)</f>
        <v>167.89087093389298</v>
      </c>
      <c r="L126" s="779">
        <f>+MIN(J49:L50)</f>
        <v>72.64508838485753</v>
      </c>
      <c r="M126" s="786">
        <f>+MIN(J55:L56)</f>
        <v>167.89087093389298</v>
      </c>
      <c r="O126" s="794"/>
      <c r="U126" s="109"/>
      <c r="V126" s="109"/>
      <c r="W126" s="109"/>
      <c r="X126" s="109"/>
      <c r="Y126" s="109"/>
      <c r="Z126" s="109"/>
      <c r="AA126" s="109"/>
      <c r="AB126" s="109"/>
      <c r="AC126" s="109"/>
      <c r="AD126" s="109"/>
      <c r="AE126" s="109"/>
      <c r="AF126" s="109"/>
      <c r="AG126" s="109"/>
      <c r="AH126" s="109"/>
      <c r="AI126" s="109"/>
      <c r="AJ126" s="109"/>
      <c r="AK126" s="109"/>
      <c r="AL126" s="109"/>
      <c r="AM126" s="109"/>
      <c r="AN126" s="109"/>
      <c r="AO126" s="109"/>
      <c r="AP126" s="109"/>
      <c r="AR126" s="126"/>
      <c r="AS126" s="127"/>
      <c r="AT126" s="127"/>
      <c r="AU126" s="119"/>
      <c r="AV126" s="119"/>
      <c r="AW126" s="119"/>
      <c r="AX126" s="119"/>
      <c r="BA126" s="767">
        <v>6</v>
      </c>
      <c r="BB126" s="765"/>
      <c r="BC126" s="753" t="b">
        <f>AND(BE126&gt;=10,$AO$138&gt;=10,$AP$138&gt;=10)</f>
        <v>1</v>
      </c>
      <c r="BD126" s="67" t="str">
        <f>IF(BC126=TRUE,"O K","OVERLOAD")</f>
        <v>O K</v>
      </c>
      <c r="BE126" s="781">
        <f>SUM(I132:M132)</f>
        <v>167.89087093389298</v>
      </c>
      <c r="BF126" s="631" t="s">
        <v>139</v>
      </c>
      <c r="BG126" s="632">
        <v>-10</v>
      </c>
      <c r="BH126" s="632">
        <v>-9</v>
      </c>
      <c r="BI126" s="632">
        <v>-8</v>
      </c>
      <c r="BJ126" s="632">
        <v>-7</v>
      </c>
      <c r="BK126" s="632">
        <v>-6</v>
      </c>
      <c r="BL126" s="632">
        <v>-5</v>
      </c>
      <c r="BM126" s="632">
        <v>-4</v>
      </c>
      <c r="BN126" s="632">
        <v>-3</v>
      </c>
      <c r="BO126" s="632">
        <v>-2</v>
      </c>
      <c r="BP126" s="632">
        <v>-1</v>
      </c>
      <c r="BQ126" s="632">
        <v>0</v>
      </c>
      <c r="BR126" s="632">
        <v>1</v>
      </c>
      <c r="BS126" s="632">
        <v>2</v>
      </c>
      <c r="BT126" s="632">
        <v>3</v>
      </c>
      <c r="BU126" s="632">
        <v>4</v>
      </c>
      <c r="BV126" s="632">
        <v>5</v>
      </c>
      <c r="BW126" s="632">
        <v>6</v>
      </c>
      <c r="BX126" s="632">
        <v>7</v>
      </c>
      <c r="BY126" s="632">
        <v>8</v>
      </c>
      <c r="BZ126" s="632">
        <v>9</v>
      </c>
      <c r="CA126" s="632">
        <v>10</v>
      </c>
      <c r="CB126" s="632">
        <v>11</v>
      </c>
      <c r="CC126" s="632">
        <v>12</v>
      </c>
      <c r="CD126" s="632">
        <v>13</v>
      </c>
      <c r="CE126" s="632">
        <v>14</v>
      </c>
      <c r="CF126" s="632">
        <v>15</v>
      </c>
      <c r="CG126" s="632">
        <v>16</v>
      </c>
      <c r="CH126" s="632">
        <v>17</v>
      </c>
      <c r="CI126" s="632">
        <v>18</v>
      </c>
      <c r="CJ126" s="632">
        <v>19</v>
      </c>
      <c r="CK126" s="632">
        <v>20</v>
      </c>
      <c r="CL126" s="632">
        <v>21</v>
      </c>
      <c r="CM126" s="632">
        <v>22</v>
      </c>
      <c r="CN126" s="632">
        <v>23</v>
      </c>
      <c r="CO126" s="632">
        <v>24</v>
      </c>
      <c r="CP126" s="632">
        <v>25</v>
      </c>
      <c r="CQ126" s="634">
        <v>26</v>
      </c>
      <c r="CR126" s="62"/>
      <c r="CS126" s="62"/>
      <c r="CT126" s="62"/>
    </row>
    <row r="127" spans="2:98" ht="25" hidden="1" x14ac:dyDescent="0.25">
      <c r="G127" s="810"/>
      <c r="H127" s="114"/>
      <c r="I127" s="114"/>
      <c r="J127" s="114"/>
      <c r="K127" s="114"/>
      <c r="L127" s="114"/>
      <c r="M127" s="114"/>
      <c r="N127" s="114"/>
      <c r="O127" s="811"/>
      <c r="P127" s="114"/>
      <c r="Q127" s="114"/>
      <c r="R127" s="114"/>
      <c r="S127" s="114"/>
      <c r="T127" s="114"/>
      <c r="U127" s="114"/>
      <c r="V127" s="114"/>
      <c r="W127" s="114"/>
      <c r="X127" s="114"/>
      <c r="Y127" s="114"/>
      <c r="Z127" s="114"/>
      <c r="AA127" s="114"/>
      <c r="AB127" s="114"/>
      <c r="AC127" s="114"/>
      <c r="AD127" s="114"/>
      <c r="AE127" s="114"/>
      <c r="AF127" s="114"/>
      <c r="AG127" s="114"/>
      <c r="AH127" s="114"/>
      <c r="AI127" s="114"/>
      <c r="AJ127" s="114"/>
      <c r="AK127" s="114"/>
      <c r="AL127" s="114"/>
      <c r="AM127" s="114"/>
      <c r="AN127" s="114"/>
      <c r="AO127" s="114"/>
      <c r="AP127" s="114"/>
      <c r="AQ127" s="114"/>
      <c r="AR127" s="114"/>
      <c r="AS127" s="114"/>
      <c r="AT127" s="183"/>
      <c r="AU127" s="119"/>
      <c r="AV127" s="119"/>
      <c r="AW127" s="119"/>
      <c r="AX127" s="119"/>
      <c r="AY127" s="119"/>
      <c r="AZ127" s="119"/>
      <c r="BA127" s="119"/>
      <c r="BB127" s="119"/>
      <c r="BC127" s="119"/>
      <c r="BD127" s="119"/>
      <c r="BE127" s="119"/>
      <c r="BF127" s="62"/>
      <c r="BG127" s="182"/>
      <c r="BH127" s="182"/>
      <c r="BI127" s="182"/>
      <c r="BJ127" s="182"/>
      <c r="BK127" s="182"/>
      <c r="BL127" s="182"/>
      <c r="BM127" s="182"/>
      <c r="BN127" s="182"/>
      <c r="BO127" s="182"/>
      <c r="BP127" s="182"/>
      <c r="BQ127" s="182"/>
      <c r="BR127" s="182"/>
      <c r="BS127" s="182"/>
      <c r="BT127" s="182"/>
      <c r="BU127" s="182"/>
      <c r="BV127" s="182"/>
      <c r="BW127" s="182"/>
      <c r="BX127" s="182"/>
      <c r="BY127" s="182"/>
      <c r="BZ127" s="182"/>
      <c r="CA127" s="182"/>
      <c r="CB127" s="182"/>
      <c r="CC127" s="182"/>
      <c r="CD127" s="182"/>
      <c r="CE127" s="182"/>
      <c r="CF127" s="182"/>
      <c r="CG127" s="182"/>
      <c r="CH127" s="182"/>
      <c r="CI127" s="182"/>
      <c r="CJ127" s="182"/>
      <c r="CK127" s="182"/>
      <c r="CL127" s="182"/>
      <c r="CM127" s="182"/>
      <c r="CN127" s="182"/>
      <c r="CO127" s="182"/>
      <c r="CP127" s="182"/>
      <c r="CQ127" s="182"/>
      <c r="CR127" s="182"/>
    </row>
    <row r="128" spans="2:98" ht="30" hidden="1" x14ac:dyDescent="0.2">
      <c r="G128" s="797"/>
      <c r="H128" s="184"/>
      <c r="I128" s="184"/>
      <c r="J128" s="184"/>
      <c r="K128" s="184"/>
      <c r="L128" s="184"/>
      <c r="M128" s="184"/>
      <c r="N128" s="184"/>
      <c r="O128" s="812"/>
      <c r="P128" s="184"/>
      <c r="Q128" s="184"/>
      <c r="R128" s="184"/>
      <c r="S128" s="184"/>
      <c r="T128" s="184"/>
      <c r="U128" s="184"/>
      <c r="V128" s="184"/>
      <c r="W128" s="184"/>
      <c r="X128" s="184"/>
      <c r="Y128" s="184"/>
      <c r="Z128" s="184"/>
      <c r="AA128" s="184"/>
      <c r="AB128" s="184"/>
      <c r="AC128" s="184"/>
      <c r="AD128" s="184"/>
      <c r="AE128" s="184"/>
      <c r="AF128" s="184"/>
      <c r="AG128" s="184"/>
      <c r="AH128" s="184"/>
      <c r="AI128" s="184"/>
      <c r="AJ128" s="184"/>
      <c r="AK128" s="184"/>
      <c r="AL128" s="184"/>
      <c r="AM128" s="184"/>
      <c r="AN128" s="184"/>
      <c r="AO128" s="184"/>
      <c r="AP128" s="184"/>
      <c r="AQ128" s="184"/>
      <c r="AR128" s="184"/>
      <c r="AS128" s="184"/>
      <c r="AU128" s="119"/>
      <c r="AV128" s="119"/>
      <c r="AW128" s="119"/>
      <c r="AX128" s="119"/>
      <c r="AY128" s="119"/>
      <c r="AZ128" s="119"/>
      <c r="BA128" s="119"/>
      <c r="BB128" s="119"/>
      <c r="BC128" s="119"/>
      <c r="BD128" s="119"/>
      <c r="BE128" s="119"/>
      <c r="BF128" s="60"/>
      <c r="BG128" s="60"/>
      <c r="BH128" s="60"/>
      <c r="BI128" s="60"/>
      <c r="BJ128" s="60"/>
      <c r="BK128" s="60"/>
      <c r="BL128" s="185"/>
      <c r="BM128" s="185"/>
      <c r="BN128" s="185"/>
      <c r="BO128" s="185"/>
      <c r="BP128" s="185"/>
      <c r="BQ128" s="185"/>
      <c r="BR128" s="185"/>
      <c r="BS128" s="185"/>
      <c r="BT128" s="185"/>
      <c r="BU128" s="185"/>
      <c r="BV128" s="185"/>
      <c r="BW128" s="185"/>
      <c r="BX128" s="185"/>
      <c r="BY128" s="185"/>
      <c r="BZ128" s="62"/>
      <c r="CA128" s="62"/>
      <c r="CB128" s="62"/>
      <c r="CC128" s="62"/>
      <c r="CD128" s="62"/>
      <c r="CE128" s="62"/>
      <c r="CF128" s="62"/>
      <c r="CG128" s="62"/>
      <c r="CH128" s="62"/>
      <c r="CI128" s="62"/>
      <c r="CJ128" s="62"/>
      <c r="CK128" s="62"/>
      <c r="CL128" s="62"/>
      <c r="CM128" s="62"/>
      <c r="CN128" s="62"/>
      <c r="CO128" s="62"/>
      <c r="CP128" s="62"/>
      <c r="CQ128" s="62"/>
      <c r="CR128" s="62"/>
      <c r="CS128" s="62"/>
      <c r="CT128" s="62"/>
    </row>
    <row r="129" spans="2:98" hidden="1" x14ac:dyDescent="0.2">
      <c r="G129" s="797"/>
      <c r="O129" s="794"/>
      <c r="U129" s="109"/>
      <c r="V129" s="109"/>
      <c r="W129" s="109"/>
      <c r="X129" s="109"/>
      <c r="Y129" s="109"/>
      <c r="Z129" s="109"/>
      <c r="AA129" s="109"/>
      <c r="AB129" s="109"/>
      <c r="AC129" s="109"/>
      <c r="AD129" s="109"/>
      <c r="AE129" s="109"/>
      <c r="AF129" s="109"/>
      <c r="AG129" s="109"/>
      <c r="AH129" s="109"/>
      <c r="AI129" s="109"/>
      <c r="AJ129" s="109"/>
      <c r="AK129" s="109"/>
      <c r="AL129" s="109"/>
      <c r="AM129" s="109"/>
      <c r="AN129" s="109"/>
      <c r="AO129" s="109"/>
      <c r="AP129" s="109"/>
      <c r="AR129" s="126"/>
      <c r="AS129" s="127"/>
      <c r="AU129" s="119"/>
      <c r="AV129" s="119"/>
      <c r="AW129" s="119"/>
      <c r="AX129" s="119"/>
      <c r="AY129" s="119"/>
      <c r="AZ129" s="119"/>
      <c r="BA129" s="119"/>
      <c r="BB129" s="119"/>
      <c r="BC129" s="119"/>
      <c r="BD129" s="119"/>
      <c r="BE129" s="119"/>
      <c r="BF129" s="109"/>
      <c r="BG129" s="109"/>
      <c r="BH129" s="109"/>
      <c r="BI129" s="109"/>
      <c r="BJ129" s="109"/>
      <c r="BK129" s="109"/>
      <c r="BL129" s="186"/>
      <c r="BM129" s="186"/>
      <c r="BN129" s="186"/>
      <c r="BO129" s="186"/>
      <c r="BP129" s="186"/>
      <c r="BQ129" s="186"/>
      <c r="BR129" s="186"/>
      <c r="BS129" s="186"/>
      <c r="BT129" s="186"/>
      <c r="BU129" s="186"/>
      <c r="BV129" s="186"/>
      <c r="BW129" s="186"/>
      <c r="BX129" s="186"/>
      <c r="BY129" s="186"/>
    </row>
    <row r="130" spans="2:98" ht="24" hidden="1" thickBot="1" x14ac:dyDescent="0.3">
      <c r="G130" s="797"/>
      <c r="I130" s="843" t="s">
        <v>208</v>
      </c>
      <c r="J130" s="843" t="s">
        <v>207</v>
      </c>
      <c r="O130" s="794"/>
      <c r="U130" s="109"/>
      <c r="V130" s="109"/>
      <c r="W130" s="109"/>
      <c r="X130" s="109"/>
      <c r="Y130" s="109"/>
      <c r="Z130" s="109"/>
      <c r="AA130" s="109"/>
      <c r="AB130" s="109"/>
      <c r="AC130" s="109"/>
      <c r="AD130" s="109"/>
      <c r="AE130" s="109"/>
      <c r="AF130" s="109"/>
      <c r="AG130" s="109"/>
      <c r="AH130" s="109"/>
      <c r="AI130" s="109"/>
      <c r="AJ130" s="109"/>
      <c r="AK130" s="109"/>
      <c r="AL130" s="109"/>
      <c r="AM130" s="109"/>
      <c r="AN130" s="109"/>
      <c r="AO130" s="109"/>
      <c r="AP130" s="109"/>
      <c r="AR130" s="126"/>
      <c r="AS130" s="127"/>
      <c r="AT130" s="127"/>
      <c r="AU130" s="119"/>
      <c r="AV130" s="119"/>
      <c r="AW130" s="119"/>
      <c r="AX130" s="119"/>
      <c r="AY130" s="119"/>
      <c r="AZ130" s="119"/>
      <c r="BB130" s="187" t="s">
        <v>53</v>
      </c>
      <c r="BC130" s="119"/>
      <c r="BD130" s="170"/>
      <c r="BE130" s="119"/>
      <c r="BF130" s="48"/>
      <c r="BI130" s="109"/>
      <c r="BJ130" s="109"/>
      <c r="BK130" s="109"/>
      <c r="BL130" s="186"/>
      <c r="BM130" s="186"/>
      <c r="BN130" s="186"/>
      <c r="BO130" s="186"/>
      <c r="BP130" s="186"/>
      <c r="BQ130" s="186"/>
      <c r="BR130" s="186"/>
      <c r="BS130" s="186"/>
      <c r="BT130" s="186"/>
      <c r="BU130" s="186"/>
      <c r="BV130" s="186"/>
      <c r="BW130" s="186"/>
      <c r="BX130" s="186"/>
      <c r="BY130" s="186"/>
      <c r="CH130" s="48"/>
      <c r="CT130" s="187" t="s">
        <v>52</v>
      </c>
    </row>
    <row r="131" spans="2:98" ht="45.75" customHeight="1" thickBot="1" x14ac:dyDescent="0.3">
      <c r="B131" s="188" t="s">
        <v>105</v>
      </c>
      <c r="C131" s="189"/>
      <c r="D131" s="190" t="str">
        <f>IF(BB131&gt;0," ","change the angle of frame or of cabinets")</f>
        <v xml:space="preserve"> </v>
      </c>
      <c r="E131" s="191"/>
      <c r="F131" s="191"/>
      <c r="G131" s="813"/>
      <c r="H131" s="192"/>
      <c r="I131" s="836">
        <f>COUNTIF(CA123:CQ123,"&gt;0")</f>
        <v>1</v>
      </c>
      <c r="J131" s="836">
        <f>COUNTIF(BG123:BW123,"&gt;0")</f>
        <v>1</v>
      </c>
      <c r="K131" s="836" t="b">
        <f>AND(IF(SUM(BG125:BQ125)&gt;0,1,0),IF(CF125="6  ADS ",1,0))</f>
        <v>1</v>
      </c>
      <c r="L131" s="836" t="b">
        <f>AND(IF(SUM(CG125:CQ125)&gt;0,1,0),IF(BR125="6  ADS ",1,0))</f>
        <v>0</v>
      </c>
      <c r="M131" s="836" t="b">
        <f>AND(IF(CF125="6  ADS ",1,0),IF(BR125="6  ADS ",1,0))</f>
        <v>0</v>
      </c>
      <c r="N131" s="192"/>
      <c r="O131" s="814"/>
      <c r="P131" s="192"/>
      <c r="Q131" s="192"/>
      <c r="U131" s="645" t="s">
        <v>128</v>
      </c>
      <c r="V131" s="637"/>
      <c r="W131" s="637"/>
      <c r="X131" s="637"/>
      <c r="Y131" s="646" t="s">
        <v>132</v>
      </c>
      <c r="Z131" s="192"/>
      <c r="AA131" s="193"/>
      <c r="AB131" s="193"/>
      <c r="AC131" s="193"/>
      <c r="AD131" s="193"/>
      <c r="AE131" s="193"/>
      <c r="AF131" s="193"/>
      <c r="AG131" s="193"/>
      <c r="AH131" s="193"/>
      <c r="AI131" s="193"/>
      <c r="AJ131" s="193"/>
      <c r="AK131" s="193"/>
      <c r="AL131" s="193"/>
      <c r="AM131" s="193"/>
      <c r="AN131" s="193"/>
      <c r="AO131" s="193"/>
      <c r="AP131" s="193"/>
      <c r="AQ131" s="192"/>
      <c r="AR131" s="193"/>
      <c r="AS131" s="193"/>
      <c r="AT131" s="194"/>
      <c r="AU131" s="119"/>
      <c r="AV131" s="119"/>
      <c r="AW131" s="119"/>
      <c r="AX131" s="119"/>
      <c r="AY131" s="119"/>
      <c r="AZ131" s="119"/>
      <c r="BA131" s="195"/>
      <c r="BB131" s="187">
        <f>-+AX162</f>
        <v>721.3262434166835</v>
      </c>
      <c r="BC131" s="119"/>
      <c r="BD131" s="170"/>
      <c r="BE131" s="119"/>
      <c r="BF131" s="48"/>
      <c r="BG131" s="753"/>
      <c r="BH131" s="753"/>
      <c r="BI131" s="753"/>
      <c r="BJ131" s="753"/>
      <c r="BK131" s="753"/>
      <c r="BL131" s="753"/>
      <c r="BM131" s="753"/>
      <c r="BN131" s="753"/>
      <c r="BO131" s="753"/>
      <c r="BP131" s="753"/>
      <c r="BQ131" s="753"/>
      <c r="BR131" s="753"/>
      <c r="BS131" s="753"/>
      <c r="BT131" s="753"/>
      <c r="BU131" s="753"/>
      <c r="BV131" s="753"/>
      <c r="BW131" s="753"/>
      <c r="BX131" s="753"/>
      <c r="BY131" s="753"/>
      <c r="BZ131" s="753"/>
      <c r="CA131" s="753"/>
      <c r="CB131" s="753"/>
      <c r="CC131" s="753"/>
      <c r="CD131" s="753"/>
      <c r="CE131" s="753"/>
      <c r="CF131" s="753"/>
      <c r="CG131" s="753"/>
      <c r="CH131" s="753"/>
      <c r="CI131" s="753"/>
      <c r="CJ131" s="753"/>
      <c r="CK131" s="753"/>
      <c r="CL131" s="753"/>
      <c r="CM131" s="753"/>
      <c r="CN131" s="753"/>
      <c r="CO131" s="753"/>
      <c r="CP131" s="165"/>
      <c r="CQ131" s="753"/>
      <c r="CT131" s="187">
        <f>+-AX198</f>
        <v>-826.6737565833165</v>
      </c>
    </row>
    <row r="132" spans="2:98" ht="45.75" customHeight="1" thickBot="1" x14ac:dyDescent="0.3">
      <c r="B132" s="1">
        <v>0</v>
      </c>
      <c r="D132" s="190" t="str">
        <f>IF(CT131&lt;0," ","change the angle of frame or of cabinets")</f>
        <v xml:space="preserve"> </v>
      </c>
      <c r="E132" s="191"/>
      <c r="F132" s="191"/>
      <c r="G132" s="815"/>
      <c r="H132" s="816"/>
      <c r="I132" s="837">
        <f>IF(I131=2,I126,0)</f>
        <v>0</v>
      </c>
      <c r="J132" s="837">
        <f>IF(J131=2,J126,0)</f>
        <v>0</v>
      </c>
      <c r="K132" s="837">
        <f t="shared" ref="K132:M132" si="5">IF(K131=TRUE,K126,0)</f>
        <v>167.89087093389298</v>
      </c>
      <c r="L132" s="837">
        <f t="shared" si="5"/>
        <v>0</v>
      </c>
      <c r="M132" s="837">
        <f t="shared" si="5"/>
        <v>0</v>
      </c>
      <c r="N132" s="816"/>
      <c r="O132" s="817"/>
      <c r="P132" s="192"/>
      <c r="Q132" s="192"/>
      <c r="U132" s="581" t="s">
        <v>129</v>
      </c>
      <c r="V132" s="640" t="s">
        <v>130</v>
      </c>
      <c r="W132" s="640" t="s">
        <v>131</v>
      </c>
      <c r="X132" s="918" t="s">
        <v>135</v>
      </c>
      <c r="Y132" s="895" t="s">
        <v>133</v>
      </c>
      <c r="Z132" s="192"/>
      <c r="AA132" s="192"/>
      <c r="AB132" s="192"/>
      <c r="AC132" s="192"/>
      <c r="AD132" s="192"/>
      <c r="AE132" s="192"/>
      <c r="AF132" s="192"/>
      <c r="AG132" s="193"/>
      <c r="AH132" s="193"/>
      <c r="AI132" s="193"/>
      <c r="AJ132" s="193"/>
      <c r="AK132" s="193"/>
      <c r="AL132" s="193"/>
      <c r="AM132" s="193"/>
      <c r="AN132" s="193"/>
      <c r="AO132" s="193"/>
      <c r="AP132" s="193"/>
      <c r="AQ132" s="192"/>
      <c r="AR132" s="193"/>
      <c r="AS132" s="193"/>
      <c r="AT132" s="194"/>
      <c r="BC132" s="119"/>
      <c r="BD132" s="119"/>
      <c r="BE132" s="119"/>
      <c r="BF132" s="109"/>
      <c r="BG132" s="109"/>
      <c r="BH132" s="109"/>
      <c r="BI132" s="109"/>
      <c r="BJ132" s="109"/>
      <c r="BK132" s="109"/>
      <c r="BL132" s="186"/>
      <c r="BM132" s="186"/>
      <c r="BN132" s="186"/>
      <c r="BO132" s="186"/>
      <c r="BP132" s="186"/>
      <c r="BQ132" s="186"/>
      <c r="BR132" s="186"/>
      <c r="BS132" s="186"/>
      <c r="BT132" s="186"/>
      <c r="BU132" s="186"/>
      <c r="BV132" s="186"/>
      <c r="BW132" s="186"/>
      <c r="BX132" s="186"/>
      <c r="BY132" s="186"/>
    </row>
    <row r="133" spans="2:98" ht="45.75" customHeight="1" thickBot="1" x14ac:dyDescent="0.35">
      <c r="B133" s="1107" t="s">
        <v>228</v>
      </c>
      <c r="C133" s="196"/>
      <c r="D133" s="190" t="str">
        <f>IF(BB131&gt;(+COS(($B$132*-1)*3.14159265358979/180)*451.5)," ","USE EXBAR AR AT THE FRONT")</f>
        <v xml:space="preserve"> </v>
      </c>
      <c r="E133" s="191"/>
      <c r="F133" s="191"/>
      <c r="G133" s="191"/>
      <c r="H133" s="192"/>
      <c r="I133" s="192"/>
      <c r="J133" s="192"/>
      <c r="K133" s="192"/>
      <c r="L133" s="192"/>
      <c r="M133" s="192"/>
      <c r="N133" s="192"/>
      <c r="O133" s="192"/>
      <c r="P133" s="192"/>
      <c r="Q133" s="192"/>
      <c r="U133" s="581">
        <v>6.8623010000000004</v>
      </c>
      <c r="V133" s="640">
        <f>+$B$132-U133</f>
        <v>-6.8623010000000004</v>
      </c>
      <c r="W133" s="643">
        <f>COS(V133*3.14159265358979/180)</f>
        <v>0.99283617366519983</v>
      </c>
      <c r="X133" s="636">
        <f>+W133*378.71303</f>
        <v>375.99999562235405</v>
      </c>
      <c r="Y133" s="896">
        <f>+((Y138*AG138)+(X133*31))/(AG138+31)</f>
        <v>295.82625711928648</v>
      </c>
      <c r="Z133" s="192"/>
      <c r="AA133" s="192"/>
      <c r="AB133" s="209"/>
      <c r="AC133" s="582"/>
      <c r="AD133" s="192"/>
      <c r="AE133" s="192"/>
      <c r="AF133" s="192"/>
      <c r="AG133" s="193"/>
      <c r="AH133" s="193"/>
      <c r="AI133" s="193"/>
      <c r="AJ133" s="193"/>
      <c r="AK133" s="193"/>
      <c r="AL133" s="193"/>
      <c r="AM133" s="193"/>
      <c r="AN133" s="193"/>
      <c r="AO133" s="193"/>
      <c r="AP133" s="193"/>
      <c r="AQ133" s="192"/>
      <c r="AR133" s="89"/>
      <c r="AS133" s="193"/>
      <c r="BC133" s="197"/>
      <c r="BD133" s="197"/>
      <c r="BE133" s="197"/>
      <c r="BF133" s="109"/>
      <c r="BG133" s="109"/>
      <c r="BH133" s="109"/>
      <c r="BI133" s="109"/>
      <c r="BJ133" s="109"/>
      <c r="BK133" s="109"/>
      <c r="BL133" s="186"/>
      <c r="BM133" s="186"/>
      <c r="BN133" s="186"/>
      <c r="BO133" s="186"/>
      <c r="BP133" s="186"/>
      <c r="BQ133" s="186"/>
      <c r="BR133" s="186"/>
      <c r="BS133" s="186"/>
      <c r="BT133" s="186"/>
      <c r="BU133" s="186"/>
      <c r="BV133" s="186"/>
      <c r="BW133" s="186"/>
      <c r="BX133" s="186"/>
      <c r="BY133" s="186"/>
    </row>
    <row r="134" spans="2:98" ht="45.75" customHeight="1" thickBot="1" x14ac:dyDescent="0.35">
      <c r="B134" s="1108"/>
      <c r="C134" s="196"/>
      <c r="D134" s="198" t="str">
        <f>IF(CT131&lt;-(+COS(($B$132*-1)*3.14159265358979/180)*365.5)," ","USE EXBAR AR AT THE BACK")</f>
        <v xml:space="preserve"> </v>
      </c>
      <c r="E134" s="191"/>
      <c r="F134" s="191"/>
      <c r="G134" s="191"/>
      <c r="H134" s="192"/>
      <c r="I134" s="192"/>
      <c r="J134" s="192"/>
      <c r="K134" s="192"/>
      <c r="L134" s="192"/>
      <c r="M134" s="192"/>
      <c r="N134" s="192"/>
      <c r="O134" s="192"/>
      <c r="P134" s="192"/>
      <c r="Q134" s="192"/>
      <c r="R134" s="192"/>
      <c r="S134" s="192"/>
      <c r="T134" s="192"/>
      <c r="U134" s="192"/>
      <c r="V134" s="192"/>
      <c r="W134" s="193"/>
      <c r="X134" s="193"/>
      <c r="Y134" s="193"/>
      <c r="Z134" s="193"/>
      <c r="AA134" s="193"/>
      <c r="AB134" s="193"/>
      <c r="AC134" s="193"/>
      <c r="AD134" s="193"/>
      <c r="AE134" s="193"/>
      <c r="AF134" s="193"/>
      <c r="AG134" s="193"/>
      <c r="AH134" s="193"/>
      <c r="AI134" s="193"/>
      <c r="AJ134" s="193"/>
      <c r="AK134" s="193"/>
      <c r="AL134" s="193"/>
      <c r="AM134" s="193"/>
      <c r="AN134" s="193"/>
      <c r="AO134" s="193"/>
      <c r="AP134" s="193"/>
      <c r="AQ134" s="192"/>
      <c r="AR134" s="89"/>
      <c r="AS134" s="193"/>
      <c r="BC134" s="197"/>
      <c r="BD134" s="197"/>
      <c r="BE134" s="197"/>
      <c r="BF134" s="109"/>
      <c r="BG134" s="109"/>
      <c r="BH134" s="109"/>
      <c r="BI134" s="109"/>
      <c r="BJ134" s="109"/>
      <c r="BK134" s="109"/>
      <c r="BL134" s="186"/>
      <c r="BM134" s="186"/>
      <c r="BN134" s="186"/>
      <c r="BO134" s="186"/>
      <c r="BP134" s="186"/>
      <c r="BQ134" s="186"/>
      <c r="BR134" s="186"/>
      <c r="BS134" s="186"/>
      <c r="BT134" s="186"/>
      <c r="BU134" s="186"/>
      <c r="BV134" s="186"/>
      <c r="BW134" s="186"/>
      <c r="BX134" s="186"/>
      <c r="BY134" s="186"/>
    </row>
    <row r="135" spans="2:98" ht="48" customHeight="1" thickBot="1" x14ac:dyDescent="0.35">
      <c r="B135" s="17">
        <v>1</v>
      </c>
      <c r="C135" s="199"/>
      <c r="D135" s="200" t="s">
        <v>214</v>
      </c>
      <c r="E135" s="201"/>
      <c r="F135" s="202"/>
      <c r="G135" s="202"/>
      <c r="H135" s="902" t="s">
        <v>227</v>
      </c>
      <c r="I135" s="902" t="s">
        <v>216</v>
      </c>
      <c r="J135" s="203"/>
      <c r="K135" s="203"/>
      <c r="L135" s="203"/>
      <c r="M135" s="203"/>
      <c r="N135" s="203"/>
      <c r="O135" s="203"/>
      <c r="P135" s="203"/>
      <c r="Q135" s="203"/>
      <c r="R135" s="203"/>
      <c r="S135" s="203"/>
      <c r="T135" s="203"/>
      <c r="U135" s="203"/>
      <c r="V135" s="201"/>
      <c r="W135" s="201"/>
      <c r="X135" s="201"/>
      <c r="Y135" s="201"/>
      <c r="Z135" s="201"/>
      <c r="AA135" s="201"/>
      <c r="AB135" s="201"/>
      <c r="AC135" s="201"/>
      <c r="AD135" s="201"/>
      <c r="AE135" s="201"/>
      <c r="AF135" s="201"/>
      <c r="AG135" s="201"/>
      <c r="AH135" s="201"/>
      <c r="AI135" s="201"/>
      <c r="AJ135" s="201"/>
      <c r="AK135" s="201"/>
      <c r="AL135" s="201"/>
      <c r="AM135" s="201"/>
      <c r="AN135" s="201"/>
      <c r="AO135" s="1111" t="s">
        <v>46</v>
      </c>
      <c r="AP135" s="1112"/>
      <c r="AQ135" s="204"/>
      <c r="AR135" s="205"/>
      <c r="BC135" s="197"/>
      <c r="BD135" s="197"/>
      <c r="BE135" s="197"/>
      <c r="BF135" s="109"/>
      <c r="BG135" s="109"/>
      <c r="BH135" s="109"/>
      <c r="BI135" s="109"/>
      <c r="BJ135" s="109"/>
      <c r="BK135" s="109"/>
      <c r="BL135" s="109"/>
      <c r="BM135" s="109"/>
      <c r="BN135" s="109"/>
      <c r="BO135" s="109"/>
      <c r="BP135" s="109"/>
      <c r="BQ135" s="109"/>
      <c r="BR135" s="109"/>
      <c r="BS135" s="109"/>
      <c r="BT135" s="109"/>
      <c r="BU135" s="109"/>
      <c r="BV135" s="109"/>
      <c r="BW135" s="109"/>
      <c r="BX135" s="109"/>
      <c r="BY135" s="109"/>
      <c r="BZ135" s="109"/>
      <c r="CA135" s="109"/>
      <c r="CB135" s="109"/>
      <c r="CC135" s="109"/>
      <c r="CD135" s="109"/>
      <c r="CE135" s="109"/>
      <c r="CF135" s="109"/>
      <c r="CG135" s="109"/>
      <c r="CH135" s="109"/>
      <c r="CI135" s="109"/>
      <c r="CJ135" s="109"/>
      <c r="CK135" s="109"/>
      <c r="CL135" s="109"/>
      <c r="CM135" s="109"/>
      <c r="CN135" s="109"/>
      <c r="CO135" s="109"/>
      <c r="CP135" s="109"/>
      <c r="CQ135" s="109"/>
    </row>
    <row r="136" spans="2:98" ht="46" hidden="1" thickBot="1" x14ac:dyDescent="0.35">
      <c r="B136" s="206"/>
      <c r="C136" s="207"/>
      <c r="D136" s="208"/>
      <c r="F136" s="987" t="s">
        <v>248</v>
      </c>
      <c r="H136" s="903" t="s">
        <v>4</v>
      </c>
      <c r="I136" s="904" t="s">
        <v>1</v>
      </c>
      <c r="J136" s="209" t="s">
        <v>0</v>
      </c>
      <c r="K136" s="209" t="s">
        <v>2</v>
      </c>
      <c r="L136" s="209"/>
      <c r="M136" s="209" t="s">
        <v>3</v>
      </c>
      <c r="N136" s="209" t="s">
        <v>8</v>
      </c>
      <c r="O136" s="209" t="s">
        <v>5</v>
      </c>
      <c r="P136" s="209" t="s">
        <v>6</v>
      </c>
      <c r="Q136" s="209" t="s">
        <v>7</v>
      </c>
      <c r="R136" s="209" t="s">
        <v>9</v>
      </c>
      <c r="S136" s="210" t="s">
        <v>10</v>
      </c>
      <c r="T136" s="209" t="s">
        <v>11</v>
      </c>
      <c r="U136" s="211" t="s">
        <v>12</v>
      </c>
      <c r="V136" s="212"/>
      <c r="W136" s="212"/>
      <c r="X136" s="213"/>
      <c r="Y136" s="212"/>
      <c r="Z136" s="212"/>
      <c r="AA136" s="901" t="s">
        <v>217</v>
      </c>
      <c r="AB136" s="212"/>
      <c r="AC136" s="901" t="s">
        <v>225</v>
      </c>
      <c r="AD136" s="901" t="s">
        <v>219</v>
      </c>
      <c r="AE136" s="212"/>
      <c r="AF136" s="901" t="s">
        <v>226</v>
      </c>
      <c r="AG136" s="901" t="s">
        <v>224</v>
      </c>
      <c r="AH136" s="212"/>
      <c r="AI136" s="212"/>
      <c r="AJ136" s="212"/>
      <c r="AK136" s="212"/>
      <c r="AL136" s="212"/>
      <c r="AM136" s="213" t="s">
        <v>42</v>
      </c>
      <c r="AN136" s="213" t="s">
        <v>42</v>
      </c>
      <c r="AO136" s="214"/>
      <c r="AP136" s="215"/>
      <c r="AR136" s="216"/>
      <c r="BC136" s="197"/>
      <c r="BD136" s="197"/>
      <c r="BE136" s="197"/>
      <c r="BY136" s="217"/>
      <c r="BZ136" s="217"/>
      <c r="CA136" s="217"/>
      <c r="CB136" s="217"/>
      <c r="CC136" s="217"/>
      <c r="CD136" s="217"/>
    </row>
    <row r="137" spans="2:98" ht="42" customHeight="1" thickBot="1" x14ac:dyDescent="0.35">
      <c r="B137" s="218"/>
      <c r="C137" s="219"/>
      <c r="D137" s="220" t="s">
        <v>20</v>
      </c>
      <c r="E137" s="201"/>
      <c r="F137" s="221"/>
      <c r="H137" s="893"/>
      <c r="I137" s="894"/>
      <c r="S137" s="109"/>
      <c r="U137" s="224"/>
      <c r="V137" s="212"/>
      <c r="W137" s="212"/>
      <c r="X137" s="212"/>
      <c r="Y137" s="212" t="s">
        <v>36</v>
      </c>
      <c r="Z137" s="225" t="s">
        <v>29</v>
      </c>
      <c r="AA137" s="905" t="s">
        <v>218</v>
      </c>
      <c r="AB137" s="900" t="s">
        <v>30</v>
      </c>
      <c r="AC137" s="907" t="s">
        <v>31</v>
      </c>
      <c r="AD137" s="905" t="s">
        <v>220</v>
      </c>
      <c r="AE137" s="909" t="s">
        <v>32</v>
      </c>
      <c r="AF137" s="905" t="s">
        <v>33</v>
      </c>
      <c r="AG137" s="227" t="s">
        <v>34</v>
      </c>
      <c r="AH137" s="212" t="s">
        <v>35</v>
      </c>
      <c r="AI137" s="212" t="s">
        <v>37</v>
      </c>
      <c r="AJ137" s="212" t="s">
        <v>38</v>
      </c>
      <c r="AK137" s="228" t="s">
        <v>39</v>
      </c>
      <c r="AL137" s="228" t="s">
        <v>40</v>
      </c>
      <c r="AM137" s="229" t="s">
        <v>21</v>
      </c>
      <c r="AN137" s="229" t="s">
        <v>22</v>
      </c>
      <c r="AO137" s="230" t="s">
        <v>21</v>
      </c>
      <c r="AP137" s="230" t="s">
        <v>22</v>
      </c>
      <c r="AS137" s="231"/>
      <c r="BC137" s="197"/>
      <c r="BD137" s="197"/>
      <c r="BE137" s="197"/>
    </row>
    <row r="138" spans="2:98" ht="21" thickBot="1" x14ac:dyDescent="0.35">
      <c r="B138" s="232">
        <v>1</v>
      </c>
      <c r="C138" s="233">
        <f>+($B$132*-1)+D138</f>
        <v>0</v>
      </c>
      <c r="D138" s="16">
        <v>0</v>
      </c>
      <c r="E138" s="234" t="s">
        <v>106</v>
      </c>
      <c r="F138" s="235" t="str">
        <f>IF(AN138&lt;0,"use the locking pin"," ")</f>
        <v xml:space="preserve"> </v>
      </c>
      <c r="G138" s="235">
        <f>+D138</f>
        <v>0</v>
      </c>
      <c r="H138" s="888">
        <v>251.073172</v>
      </c>
      <c r="I138" s="889">
        <v>65.636175100000003</v>
      </c>
      <c r="J138" s="125">
        <f>+I138-C138</f>
        <v>65.636175100000003</v>
      </c>
      <c r="K138" s="125">
        <f t="shared" ref="K138:K163" si="6">+J138/2</f>
        <v>32.818087550000001</v>
      </c>
      <c r="L138" s="125"/>
      <c r="M138" s="125">
        <f t="shared" ref="M138:M163" si="7">SIN(K138*3.14159265358979/180)</f>
        <v>0.54197353948789428</v>
      </c>
      <c r="N138" s="125">
        <f t="shared" ref="N138:N163" si="8">+M138*H138</f>
        <v>136.07501569929286</v>
      </c>
      <c r="O138" s="125">
        <f t="shared" ref="O138:O163" si="9">+N138*2</f>
        <v>272.15003139858572</v>
      </c>
      <c r="P138" s="125">
        <f>+C138/2</f>
        <v>0</v>
      </c>
      <c r="Q138" s="125">
        <f t="shared" ref="Q138:Q163" si="10">SIN(P138*3.14159265358979/180)</f>
        <v>0</v>
      </c>
      <c r="R138" s="125">
        <f t="shared" ref="R138:R163" si="11">+Q138*O138</f>
        <v>0</v>
      </c>
      <c r="S138" s="914">
        <v>211.0008</v>
      </c>
      <c r="T138" s="125">
        <f>+S138+R138</f>
        <v>211.0008</v>
      </c>
      <c r="U138" s="236">
        <f t="shared" ref="U138:U163" si="12">+T138</f>
        <v>211.0008</v>
      </c>
      <c r="V138" s="66"/>
      <c r="W138" s="915">
        <f t="shared" ref="W138:W163" si="13">IF(B138&lt;($B$135+1),U138,0)</f>
        <v>211.0008</v>
      </c>
      <c r="X138" s="235"/>
      <c r="Y138" s="942">
        <f>SUM(W138:W163)/($B$135)</f>
        <v>211.0008</v>
      </c>
      <c r="Z138" s="897">
        <f>+C138</f>
        <v>0</v>
      </c>
      <c r="AA138" s="906">
        <f>75.4990086-Z138</f>
        <v>75.499008599999996</v>
      </c>
      <c r="AB138" s="899">
        <f t="shared" ref="AB138:AB163" si="14">SIN(AA138*3.14159265358979/180)</f>
        <v>0.96814330785934066</v>
      </c>
      <c r="AC138" s="908">
        <f>+AB138*290.642868</f>
        <v>281.38394763124575</v>
      </c>
      <c r="AD138" s="906">
        <f>57.1819124+Z138</f>
        <v>57.181912400000002</v>
      </c>
      <c r="AE138" s="910">
        <f>SIN(AD138*3.14159265358979/180)</f>
        <v>0.84039555073787342</v>
      </c>
      <c r="AF138" s="906">
        <f>+AE138*251.073172</f>
        <v>211.00077665844481</v>
      </c>
      <c r="AG138" s="237">
        <f>$C$16*B135</f>
        <v>29.3</v>
      </c>
      <c r="AH138" s="238">
        <f>+AF138+AC138</f>
        <v>492.38472428969055</v>
      </c>
      <c r="AI138" s="238">
        <f>+W138-AF138</f>
        <v>2.3341555191791485E-5</v>
      </c>
      <c r="AJ138" s="238">
        <f>+Y138-AI138</f>
        <v>211.00077665844481</v>
      </c>
      <c r="AK138" s="239">
        <f>+((AH138-AJ138)/AH138)*AG138</f>
        <v>16.744121535226355</v>
      </c>
      <c r="AL138" s="239">
        <f>+(AJ138/AH138)*AG138</f>
        <v>12.555878464773642</v>
      </c>
      <c r="AM138" s="240">
        <f t="shared" ref="AM138:AM163" si="15">2*$C$7/AK138</f>
        <v>692.78044689271212</v>
      </c>
      <c r="AN138" s="241">
        <f t="shared" ref="AN138:AN163" si="16">$D$7/AL138</f>
        <v>796.43969381000863</v>
      </c>
      <c r="AO138" s="242">
        <f>ABS(AM138)</f>
        <v>692.78044689271212</v>
      </c>
      <c r="AP138" s="242">
        <f>ABS(AN138)</f>
        <v>796.43969381000863</v>
      </c>
      <c r="AQ138" s="74"/>
      <c r="AS138" s="243"/>
      <c r="BC138" s="197"/>
      <c r="BD138" s="197"/>
      <c r="BE138" s="197"/>
    </row>
    <row r="139" spans="2:98" ht="20" thickBot="1" x14ac:dyDescent="0.35">
      <c r="B139" s="244">
        <v>2</v>
      </c>
      <c r="C139" s="245"/>
      <c r="D139" s="16">
        <v>1</v>
      </c>
      <c r="E139" s="234" t="s">
        <v>215</v>
      </c>
      <c r="F139" s="247" t="e">
        <f t="shared" ref="F139:F163" si="17">IF(AN139&lt;0,"use the locking pin"," ")</f>
        <v>#DIV/0!</v>
      </c>
      <c r="G139" s="248">
        <f t="shared" ref="G139:G163" si="18">+D139+AQ139</f>
        <v>1</v>
      </c>
      <c r="H139" s="888">
        <v>251.073172</v>
      </c>
      <c r="I139" s="889">
        <v>65.636175100000003</v>
      </c>
      <c r="J139" s="74">
        <f t="shared" ref="J139:J163" si="19">+I139-D139</f>
        <v>64.636175100000003</v>
      </c>
      <c r="K139" s="74">
        <f t="shared" si="6"/>
        <v>32.318087550000001</v>
      </c>
      <c r="L139" s="74"/>
      <c r="M139" s="74">
        <f>SIN(K139*3.14159265358979/180)</f>
        <v>0.53461916118589337</v>
      </c>
      <c r="N139" s="74">
        <f t="shared" si="8"/>
        <v>134.22852861092153</v>
      </c>
      <c r="O139" s="74">
        <f t="shared" si="9"/>
        <v>268.45705722184306</v>
      </c>
      <c r="P139" s="74">
        <f>+C138+(D139/2)</f>
        <v>0.5</v>
      </c>
      <c r="Q139" s="74">
        <f t="shared" si="10"/>
        <v>8.726535498373926E-3</v>
      </c>
      <c r="R139" s="74">
        <f t="shared" si="11"/>
        <v>2.3427000396354138</v>
      </c>
      <c r="S139" s="74">
        <f t="shared" ref="S139:S163" si="20">+U138</f>
        <v>211.0008</v>
      </c>
      <c r="T139" s="74">
        <f>+S139+R139</f>
        <v>213.34350003963542</v>
      </c>
      <c r="U139" s="249">
        <f t="shared" si="12"/>
        <v>213.34350003963542</v>
      </c>
      <c r="W139" s="916">
        <f t="shared" si="13"/>
        <v>0</v>
      </c>
      <c r="X139" s="235"/>
      <c r="Y139" s="943" t="e">
        <f>SUM(W139:W163)/($B$135-B138)</f>
        <v>#DIV/0!</v>
      </c>
      <c r="Z139" s="898">
        <f>SUM(D139)+$C$138</f>
        <v>1</v>
      </c>
      <c r="AA139" s="906">
        <f t="shared" ref="AA139:AA163" si="21">75.4990086-Z139</f>
        <v>74.499008599999996</v>
      </c>
      <c r="AB139" s="289">
        <f t="shared" si="14"/>
        <v>0.96362582898684701</v>
      </c>
      <c r="AC139" s="908">
        <f t="shared" ref="AC139:AC163" si="22">+AB139*290.642868</f>
        <v>280.07097461561477</v>
      </c>
      <c r="AD139" s="906">
        <f t="shared" ref="AD139:AD163" si="23">57.1819124+Z139</f>
        <v>58.181912400000002</v>
      </c>
      <c r="AE139" s="911">
        <f t="shared" ref="AE139:AE163" si="24">SIN(AD139*3.14159265358979/180)</f>
        <v>0.84972629692714396</v>
      </c>
      <c r="AF139" s="906">
        <f t="shared" ref="AF139:AF163" si="25">+AE139*251.073172</f>
        <v>213.34347670131189</v>
      </c>
      <c r="AG139" s="944">
        <f>$C$16*($B$135-B138)</f>
        <v>0</v>
      </c>
      <c r="AH139" s="254">
        <f t="shared" ref="AH139:AH163" si="26">+AF139+AC139</f>
        <v>493.41445131692666</v>
      </c>
      <c r="AI139" s="254">
        <f>+W139-AF139</f>
        <v>-213.34347670131189</v>
      </c>
      <c r="AJ139" s="254" t="e">
        <f>+Y139-AI139</f>
        <v>#DIV/0!</v>
      </c>
      <c r="AK139" s="255" t="e">
        <f t="shared" ref="AK139:AK163" si="27">+((AH139-AJ139)/AH139)*AG139</f>
        <v>#DIV/0!</v>
      </c>
      <c r="AL139" s="255" t="e">
        <f t="shared" ref="AL139:AL163" si="28">+(AJ139/AH139)*AG139</f>
        <v>#DIV/0!</v>
      </c>
      <c r="AM139" s="240" t="e">
        <f t="shared" si="15"/>
        <v>#DIV/0!</v>
      </c>
      <c r="AN139" s="241" t="e">
        <f t="shared" si="16"/>
        <v>#DIV/0!</v>
      </c>
      <c r="AO139" s="256" t="e">
        <f t="shared" ref="AO139:AO163" si="29">ABS(AM139)</f>
        <v>#DIV/0!</v>
      </c>
      <c r="AP139" s="242" t="e">
        <f t="shared" ref="AP139:AP163" si="30">ABS(AN139)</f>
        <v>#DIV/0!</v>
      </c>
      <c r="BC139" s="197"/>
      <c r="BD139" s="197"/>
      <c r="BE139" s="197"/>
    </row>
    <row r="140" spans="2:98" ht="20" thickBot="1" x14ac:dyDescent="0.35">
      <c r="B140" s="244">
        <v>3</v>
      </c>
      <c r="C140" s="245"/>
      <c r="D140" s="16">
        <v>1</v>
      </c>
      <c r="E140" s="234" t="s">
        <v>215</v>
      </c>
      <c r="F140" s="257" t="str">
        <f t="shared" si="17"/>
        <v>use the locking pin</v>
      </c>
      <c r="G140" s="248">
        <f t="shared" si="18"/>
        <v>1</v>
      </c>
      <c r="H140" s="888">
        <v>251.073172</v>
      </c>
      <c r="I140" s="889">
        <v>65.636175100000003</v>
      </c>
      <c r="J140" s="74">
        <f t="shared" si="19"/>
        <v>64.636175100000003</v>
      </c>
      <c r="K140" s="74">
        <f t="shared" si="6"/>
        <v>32.318087550000001</v>
      </c>
      <c r="L140" s="74"/>
      <c r="M140" s="74">
        <f t="shared" si="7"/>
        <v>0.53461916118589337</v>
      </c>
      <c r="N140" s="74">
        <f t="shared" si="8"/>
        <v>134.22852861092153</v>
      </c>
      <c r="O140" s="74">
        <f t="shared" si="9"/>
        <v>268.45705722184306</v>
      </c>
      <c r="P140" s="74">
        <f>+C138+D139+(D140/2)</f>
        <v>1.5</v>
      </c>
      <c r="Q140" s="74">
        <f t="shared" si="10"/>
        <v>2.6176948307873125E-2</v>
      </c>
      <c r="R140" s="74">
        <f t="shared" si="11"/>
        <v>7.0273865097799231</v>
      </c>
      <c r="S140" s="74">
        <f t="shared" si="20"/>
        <v>213.34350003963542</v>
      </c>
      <c r="T140" s="74">
        <f t="shared" ref="T140:T163" si="31">+T139+R140</f>
        <v>220.37088654941533</v>
      </c>
      <c r="U140" s="249">
        <f t="shared" si="12"/>
        <v>220.37088654941533</v>
      </c>
      <c r="W140" s="916">
        <f t="shared" si="13"/>
        <v>0</v>
      </c>
      <c r="X140" s="235"/>
      <c r="Y140" s="943">
        <f>SUM(W140:W163)/($B$135-B139)</f>
        <v>0</v>
      </c>
      <c r="Z140" s="898">
        <f>SUM(D139:D140)+$C$138</f>
        <v>2</v>
      </c>
      <c r="AA140" s="906">
        <f t="shared" si="21"/>
        <v>73.499008599999996</v>
      </c>
      <c r="AB140" s="289">
        <f t="shared" si="14"/>
        <v>0.95881482035199095</v>
      </c>
      <c r="AC140" s="908">
        <f t="shared" si="22"/>
        <v>278.67268926800745</v>
      </c>
      <c r="AD140" s="906">
        <f t="shared" si="23"/>
        <v>59.181912400000002</v>
      </c>
      <c r="AE140" s="911">
        <f t="shared" si="24"/>
        <v>0.85879820825488717</v>
      </c>
      <c r="AF140" s="906">
        <f t="shared" si="25"/>
        <v>215.62119025447112</v>
      </c>
      <c r="AG140" s="944">
        <f t="shared" ref="AG140:AG163" si="32">$C$16*($B$135-B139)</f>
        <v>-29.3</v>
      </c>
      <c r="AH140" s="254">
        <f t="shared" si="26"/>
        <v>494.29387952247856</v>
      </c>
      <c r="AI140" s="254">
        <f>+W140-AF140</f>
        <v>-215.62119025447112</v>
      </c>
      <c r="AJ140" s="254">
        <f>+Y140-AI140</f>
        <v>215.62119025447112</v>
      </c>
      <c r="AK140" s="255">
        <f t="shared" si="27"/>
        <v>-16.518735379529016</v>
      </c>
      <c r="AL140" s="255">
        <f t="shared" si="28"/>
        <v>-12.781264620470987</v>
      </c>
      <c r="AM140" s="240">
        <f t="shared" si="15"/>
        <v>-702.23293330162551</v>
      </c>
      <c r="AN140" s="241">
        <f t="shared" si="16"/>
        <v>-782.39519303775296</v>
      </c>
      <c r="AO140" s="242">
        <f t="shared" si="29"/>
        <v>702.23293330162551</v>
      </c>
      <c r="AP140" s="242">
        <f t="shared" si="30"/>
        <v>782.39519303775296</v>
      </c>
      <c r="BC140" s="197"/>
      <c r="BD140" s="197"/>
      <c r="BE140" s="197"/>
    </row>
    <row r="141" spans="2:98" ht="20" thickBot="1" x14ac:dyDescent="0.35">
      <c r="B141" s="244">
        <v>4</v>
      </c>
      <c r="C141" s="245"/>
      <c r="D141" s="16">
        <v>1</v>
      </c>
      <c r="E141" s="234" t="s">
        <v>215</v>
      </c>
      <c r="F141" s="257" t="str">
        <f t="shared" si="17"/>
        <v>use the locking pin</v>
      </c>
      <c r="G141" s="248">
        <f t="shared" si="18"/>
        <v>1</v>
      </c>
      <c r="H141" s="888">
        <v>251.073172</v>
      </c>
      <c r="I141" s="889">
        <v>65.636175100000003</v>
      </c>
      <c r="J141" s="74">
        <f t="shared" si="19"/>
        <v>64.636175100000003</v>
      </c>
      <c r="K141" s="74">
        <f t="shared" si="6"/>
        <v>32.318087550000001</v>
      </c>
      <c r="L141" s="74"/>
      <c r="M141" s="74">
        <f t="shared" si="7"/>
        <v>0.53461916118589337</v>
      </c>
      <c r="N141" s="74">
        <f t="shared" si="8"/>
        <v>134.22852861092153</v>
      </c>
      <c r="O141" s="74">
        <f t="shared" si="9"/>
        <v>268.45705722184306</v>
      </c>
      <c r="P141" s="74">
        <f>+C138+D139+D140+(D141/2)</f>
        <v>2.5</v>
      </c>
      <c r="Q141" s="74">
        <f t="shared" si="10"/>
        <v>4.3619387365335958E-2</v>
      </c>
      <c r="R141" s="74">
        <f t="shared" si="11"/>
        <v>11.709932369917734</v>
      </c>
      <c r="S141" s="74">
        <f t="shared" si="20"/>
        <v>220.37088654941533</v>
      </c>
      <c r="T141" s="74">
        <f t="shared" si="31"/>
        <v>232.08081891933307</v>
      </c>
      <c r="U141" s="249">
        <f t="shared" si="12"/>
        <v>232.08081891933307</v>
      </c>
      <c r="W141" s="916">
        <f t="shared" si="13"/>
        <v>0</v>
      </c>
      <c r="X141" s="235"/>
      <c r="Y141" s="943">
        <f>SUM(W141:W163)/($B$135-B140)</f>
        <v>0</v>
      </c>
      <c r="Z141" s="898">
        <f>SUM(D139:D141)+$C$138</f>
        <v>3</v>
      </c>
      <c r="AA141" s="906">
        <f t="shared" si="21"/>
        <v>72.499008599999996</v>
      </c>
      <c r="AB141" s="289">
        <f t="shared" si="14"/>
        <v>0.95371174743460796</v>
      </c>
      <c r="AC141" s="908">
        <f t="shared" si="22"/>
        <v>277.18951751968609</v>
      </c>
      <c r="AD141" s="906">
        <f t="shared" si="23"/>
        <v>60.181912400000002</v>
      </c>
      <c r="AE141" s="911">
        <f t="shared" si="24"/>
        <v>0.86760852132903066</v>
      </c>
      <c r="AF141" s="906">
        <f t="shared" si="25"/>
        <v>217.83322350430939</v>
      </c>
      <c r="AG141" s="944">
        <f t="shared" si="32"/>
        <v>-58.6</v>
      </c>
      <c r="AH141" s="254">
        <f t="shared" si="26"/>
        <v>495.02274102399548</v>
      </c>
      <c r="AI141" s="254">
        <f>+W141-AF141</f>
        <v>-217.83322350430939</v>
      </c>
      <c r="AJ141" s="254">
        <f t="shared" ref="AJ141:AJ163" si="33">+Y141-AI141</f>
        <v>217.83322350430939</v>
      </c>
      <c r="AK141" s="255">
        <f t="shared" si="27"/>
        <v>-32.813251554975004</v>
      </c>
      <c r="AL141" s="255">
        <f t="shared" si="28"/>
        <v>-25.786748445025005</v>
      </c>
      <c r="AM141" s="240">
        <f t="shared" si="15"/>
        <v>-353.51571241166005</v>
      </c>
      <c r="AN141" s="241">
        <f t="shared" si="16"/>
        <v>-387.79608143768445</v>
      </c>
      <c r="AO141" s="242">
        <f t="shared" si="29"/>
        <v>353.51571241166005</v>
      </c>
      <c r="AP141" s="242">
        <f t="shared" si="30"/>
        <v>387.79608143768445</v>
      </c>
      <c r="BC141" s="197"/>
      <c r="BD141" s="197"/>
      <c r="BE141" s="197"/>
    </row>
    <row r="142" spans="2:98" ht="20" thickBot="1" x14ac:dyDescent="0.35">
      <c r="B142" s="244">
        <v>5</v>
      </c>
      <c r="C142" s="245"/>
      <c r="D142" s="16">
        <v>1</v>
      </c>
      <c r="E142" s="234" t="s">
        <v>215</v>
      </c>
      <c r="F142" s="257" t="str">
        <f t="shared" si="17"/>
        <v>use the locking pin</v>
      </c>
      <c r="G142" s="248">
        <f t="shared" si="18"/>
        <v>1</v>
      </c>
      <c r="H142" s="888">
        <v>251.073172</v>
      </c>
      <c r="I142" s="889">
        <v>65.636175100000003</v>
      </c>
      <c r="J142" s="74">
        <f t="shared" si="19"/>
        <v>64.636175100000003</v>
      </c>
      <c r="K142" s="74">
        <f t="shared" si="6"/>
        <v>32.318087550000001</v>
      </c>
      <c r="L142" s="74"/>
      <c r="M142" s="74">
        <f t="shared" si="7"/>
        <v>0.53461916118589337</v>
      </c>
      <c r="N142" s="74">
        <f t="shared" si="8"/>
        <v>134.22852861092153</v>
      </c>
      <c r="O142" s="74">
        <f t="shared" si="9"/>
        <v>268.45705722184306</v>
      </c>
      <c r="P142" s="74">
        <f>+C138+D139+D140+D141+(D142/2)</f>
        <v>3.5</v>
      </c>
      <c r="Q142" s="74">
        <f t="shared" si="10"/>
        <v>6.1048539534856811E-2</v>
      </c>
      <c r="R142" s="74">
        <f t="shared" si="11"/>
        <v>16.388911271219001</v>
      </c>
      <c r="S142" s="74">
        <f t="shared" si="20"/>
        <v>232.08081891933307</v>
      </c>
      <c r="T142" s="74">
        <f t="shared" si="31"/>
        <v>248.46973019055207</v>
      </c>
      <c r="U142" s="249">
        <f t="shared" si="12"/>
        <v>248.46973019055207</v>
      </c>
      <c r="W142" s="916">
        <f t="shared" si="13"/>
        <v>0</v>
      </c>
      <c r="X142" s="235"/>
      <c r="Y142" s="943">
        <f>SUM(W142:W163)/($B$135-B141)</f>
        <v>0</v>
      </c>
      <c r="Z142" s="898">
        <f>SUM(D139:D142)+$C$138</f>
        <v>4</v>
      </c>
      <c r="AA142" s="906">
        <f t="shared" si="21"/>
        <v>71.499008599999996</v>
      </c>
      <c r="AB142" s="289">
        <f t="shared" si="14"/>
        <v>0.94831816468014318</v>
      </c>
      <c r="AC142" s="908">
        <f t="shared" si="22"/>
        <v>275.62191115913316</v>
      </c>
      <c r="AD142" s="906">
        <f t="shared" si="23"/>
        <v>61.181912400000002</v>
      </c>
      <c r="AE142" s="911">
        <f t="shared" si="24"/>
        <v>0.87615455244286489</v>
      </c>
      <c r="AF142" s="906">
        <f t="shared" si="25"/>
        <v>219.97890264407044</v>
      </c>
      <c r="AG142" s="944">
        <f t="shared" si="32"/>
        <v>-87.9</v>
      </c>
      <c r="AH142" s="254">
        <f t="shared" si="26"/>
        <v>495.60081380320361</v>
      </c>
      <c r="AI142" s="254">
        <f t="shared" ref="AI142:AI163" si="34">+W142-AF142</f>
        <v>-219.97890264407044</v>
      </c>
      <c r="AJ142" s="254">
        <f t="shared" si="33"/>
        <v>219.97890264407044</v>
      </c>
      <c r="AK142" s="255">
        <f t="shared" si="27"/>
        <v>-48.884435449107407</v>
      </c>
      <c r="AL142" s="255">
        <f t="shared" si="28"/>
        <v>-39.015564550892599</v>
      </c>
      <c r="AM142" s="240">
        <f t="shared" si="15"/>
        <v>-237.29434314683914</v>
      </c>
      <c r="AN142" s="241">
        <f t="shared" si="16"/>
        <v>-256.30796619528144</v>
      </c>
      <c r="AO142" s="242">
        <f t="shared" si="29"/>
        <v>237.29434314683914</v>
      </c>
      <c r="AP142" s="242">
        <f t="shared" si="30"/>
        <v>256.30796619528144</v>
      </c>
      <c r="AS142" s="114"/>
      <c r="BC142" s="197"/>
      <c r="BD142" s="197"/>
      <c r="BE142" s="197"/>
    </row>
    <row r="143" spans="2:98" ht="20" thickBot="1" x14ac:dyDescent="0.35">
      <c r="B143" s="244">
        <v>6</v>
      </c>
      <c r="C143" s="245"/>
      <c r="D143" s="16">
        <v>1</v>
      </c>
      <c r="E143" s="234" t="s">
        <v>215</v>
      </c>
      <c r="F143" s="257" t="str">
        <f t="shared" si="17"/>
        <v>use the locking pin</v>
      </c>
      <c r="G143" s="248">
        <f t="shared" si="18"/>
        <v>1</v>
      </c>
      <c r="H143" s="888">
        <v>251.073172</v>
      </c>
      <c r="I143" s="889">
        <v>65.636175100000003</v>
      </c>
      <c r="J143" s="74">
        <f t="shared" si="19"/>
        <v>64.636175100000003</v>
      </c>
      <c r="K143" s="74">
        <f t="shared" si="6"/>
        <v>32.318087550000001</v>
      </c>
      <c r="L143" s="74"/>
      <c r="M143" s="74">
        <f t="shared" si="7"/>
        <v>0.53461916118589337</v>
      </c>
      <c r="N143" s="74">
        <f t="shared" si="8"/>
        <v>134.22852861092153</v>
      </c>
      <c r="O143" s="74">
        <f t="shared" si="9"/>
        <v>268.45705722184306</v>
      </c>
      <c r="P143" s="74">
        <f>+C138+D139+D140+D141+D142+(D143/2)</f>
        <v>4.5</v>
      </c>
      <c r="Q143" s="74">
        <f t="shared" si="10"/>
        <v>7.845909572784486E-2</v>
      </c>
      <c r="R143" s="74">
        <f t="shared" si="11"/>
        <v>21.062897951384109</v>
      </c>
      <c r="S143" s="74">
        <f t="shared" si="20"/>
        <v>248.46973019055207</v>
      </c>
      <c r="T143" s="74">
        <f t="shared" si="31"/>
        <v>269.53262814193619</v>
      </c>
      <c r="U143" s="249">
        <f t="shared" si="12"/>
        <v>269.53262814193619</v>
      </c>
      <c r="W143" s="916">
        <f t="shared" si="13"/>
        <v>0</v>
      </c>
      <c r="X143" s="235"/>
      <c r="Y143" s="943">
        <f>SUM(W143:W163)/($B$135-B142)</f>
        <v>0</v>
      </c>
      <c r="Z143" s="898">
        <f>SUM(D139:D143)+$C$138</f>
        <v>5</v>
      </c>
      <c r="AA143" s="906">
        <f t="shared" si="21"/>
        <v>70.499008599999996</v>
      </c>
      <c r="AB143" s="289">
        <f t="shared" si="14"/>
        <v>0.94263571502615251</v>
      </c>
      <c r="AC143" s="908">
        <f t="shared" si="22"/>
        <v>273.97034769443167</v>
      </c>
      <c r="AD143" s="906">
        <f t="shared" si="23"/>
        <v>62.181912400000002</v>
      </c>
      <c r="AE143" s="911">
        <f t="shared" si="24"/>
        <v>0.88443369839252528</v>
      </c>
      <c r="AF143" s="906">
        <f t="shared" si="25"/>
        <v>222.05757407910264</v>
      </c>
      <c r="AG143" s="944">
        <f t="shared" si="32"/>
        <v>-117.2</v>
      </c>
      <c r="AH143" s="254">
        <f t="shared" si="26"/>
        <v>496.02792177353433</v>
      </c>
      <c r="AI143" s="254">
        <f t="shared" si="34"/>
        <v>-222.05757407910264</v>
      </c>
      <c r="AJ143" s="254">
        <f t="shared" si="33"/>
        <v>222.05757407910264</v>
      </c>
      <c r="AK143" s="255">
        <f t="shared" si="27"/>
        <v>-64.732897767088147</v>
      </c>
      <c r="AL143" s="255">
        <f t="shared" si="28"/>
        <v>-52.467102232911849</v>
      </c>
      <c r="AM143" s="240">
        <f t="shared" si="15"/>
        <v>-179.19791018374178</v>
      </c>
      <c r="AN143" s="241">
        <f t="shared" si="16"/>
        <v>-190.59562229314707</v>
      </c>
      <c r="AO143" s="242">
        <f t="shared" si="29"/>
        <v>179.19791018374178</v>
      </c>
      <c r="AP143" s="242">
        <f t="shared" si="30"/>
        <v>190.59562229314707</v>
      </c>
      <c r="BC143" s="197"/>
      <c r="BD143" s="197"/>
      <c r="BE143" s="197"/>
    </row>
    <row r="144" spans="2:98" ht="20" thickBot="1" x14ac:dyDescent="0.35">
      <c r="B144" s="244">
        <v>7</v>
      </c>
      <c r="C144" s="245"/>
      <c r="D144" s="16">
        <v>1</v>
      </c>
      <c r="E144" s="234" t="s">
        <v>215</v>
      </c>
      <c r="F144" s="257" t="str">
        <f t="shared" si="17"/>
        <v>use the locking pin</v>
      </c>
      <c r="G144" s="248">
        <f t="shared" si="18"/>
        <v>1</v>
      </c>
      <c r="H144" s="888">
        <v>251.073172</v>
      </c>
      <c r="I144" s="889">
        <v>65.636175100000003</v>
      </c>
      <c r="J144" s="74">
        <f t="shared" si="19"/>
        <v>64.636175100000003</v>
      </c>
      <c r="K144" s="74">
        <f t="shared" si="6"/>
        <v>32.318087550000001</v>
      </c>
      <c r="L144" s="74"/>
      <c r="M144" s="74">
        <f t="shared" si="7"/>
        <v>0.53461916118589337</v>
      </c>
      <c r="N144" s="74">
        <f t="shared" si="8"/>
        <v>134.22852861092153</v>
      </c>
      <c r="O144" s="74">
        <f t="shared" si="9"/>
        <v>268.45705722184306</v>
      </c>
      <c r="P144" s="74">
        <f>+C138+D139+D140+D141+D142+D143+(D144/2)</f>
        <v>5.5</v>
      </c>
      <c r="Q144" s="74">
        <f t="shared" si="10"/>
        <v>9.5845752520223898E-2</v>
      </c>
      <c r="R144" s="74">
        <f t="shared" si="11"/>
        <v>25.730468668792355</v>
      </c>
      <c r="S144" s="74">
        <f t="shared" si="20"/>
        <v>269.53262814193619</v>
      </c>
      <c r="T144" s="74">
        <f t="shared" si="31"/>
        <v>295.26309681072854</v>
      </c>
      <c r="U144" s="249">
        <f t="shared" si="12"/>
        <v>295.26309681072854</v>
      </c>
      <c r="W144" s="916">
        <f t="shared" si="13"/>
        <v>0</v>
      </c>
      <c r="X144" s="235"/>
      <c r="Y144" s="943">
        <f t="shared" ref="Y144" si="35">SUM(W144:W163)/($B$135-B143)</f>
        <v>0</v>
      </c>
      <c r="Z144" s="898">
        <f>SUM(D139:D144)+$C$138</f>
        <v>6</v>
      </c>
      <c r="AA144" s="906">
        <f t="shared" si="21"/>
        <v>69.499008599999996</v>
      </c>
      <c r="AB144" s="289">
        <f t="shared" si="14"/>
        <v>0.93666612940184768</v>
      </c>
      <c r="AC144" s="908">
        <f t="shared" si="22"/>
        <v>272.23533020781213</v>
      </c>
      <c r="AD144" s="906">
        <f t="shared" si="23"/>
        <v>63.181912400000002</v>
      </c>
      <c r="AE144" s="911">
        <f t="shared" si="24"/>
        <v>0.8924434372699539</v>
      </c>
      <c r="AF144" s="906">
        <f t="shared" si="25"/>
        <v>224.06860462595034</v>
      </c>
      <c r="AG144" s="944">
        <f t="shared" si="32"/>
        <v>-146.5</v>
      </c>
      <c r="AH144" s="254">
        <f t="shared" si="26"/>
        <v>496.30393483376247</v>
      </c>
      <c r="AI144" s="254">
        <f t="shared" si="34"/>
        <v>-224.06860462595034</v>
      </c>
      <c r="AJ144" s="254">
        <f t="shared" si="33"/>
        <v>224.06860462595034</v>
      </c>
      <c r="AK144" s="255">
        <f t="shared" si="27"/>
        <v>-80.358975773188575</v>
      </c>
      <c r="AL144" s="255">
        <f t="shared" si="28"/>
        <v>-66.141024226811439</v>
      </c>
      <c r="AM144" s="240">
        <f t="shared" si="15"/>
        <v>-144.35226293501728</v>
      </c>
      <c r="AN144" s="241">
        <f t="shared" si="16"/>
        <v>-151.19209472335814</v>
      </c>
      <c r="AO144" s="242">
        <f t="shared" si="29"/>
        <v>144.35226293501728</v>
      </c>
      <c r="AP144" s="242">
        <f t="shared" si="30"/>
        <v>151.19209472335814</v>
      </c>
      <c r="BC144" s="197"/>
      <c r="BD144" s="197"/>
      <c r="BE144" s="197"/>
    </row>
    <row r="145" spans="1:57" ht="20" thickBot="1" x14ac:dyDescent="0.35">
      <c r="B145" s="244">
        <v>8</v>
      </c>
      <c r="C145" s="245"/>
      <c r="D145" s="16">
        <v>1</v>
      </c>
      <c r="E145" s="234" t="s">
        <v>215</v>
      </c>
      <c r="F145" s="257" t="str">
        <f t="shared" si="17"/>
        <v>use the locking pin</v>
      </c>
      <c r="G145" s="248">
        <f t="shared" si="18"/>
        <v>1</v>
      </c>
      <c r="H145" s="888">
        <v>251.073172</v>
      </c>
      <c r="I145" s="889">
        <v>65.636175100000003</v>
      </c>
      <c r="J145" s="74">
        <f t="shared" si="19"/>
        <v>64.636175100000003</v>
      </c>
      <c r="K145" s="74">
        <f t="shared" si="6"/>
        <v>32.318087550000001</v>
      </c>
      <c r="L145" s="74"/>
      <c r="M145" s="74">
        <f t="shared" si="7"/>
        <v>0.53461916118589337</v>
      </c>
      <c r="N145" s="74">
        <f t="shared" si="8"/>
        <v>134.22852861092153</v>
      </c>
      <c r="O145" s="74">
        <f t="shared" si="9"/>
        <v>268.45705722184306</v>
      </c>
      <c r="P145" s="74">
        <f>+C138+D139+D140+D141+D142+D143+D144+(D145/2)</f>
        <v>6.5</v>
      </c>
      <c r="Q145" s="74">
        <f t="shared" si="10"/>
        <v>0.11320321376790661</v>
      </c>
      <c r="R145" s="74">
        <f t="shared" si="11"/>
        <v>30.390201636187438</v>
      </c>
      <c r="S145" s="74">
        <f t="shared" si="20"/>
        <v>295.26309681072854</v>
      </c>
      <c r="T145" s="74">
        <f t="shared" si="31"/>
        <v>325.65329844691598</v>
      </c>
      <c r="U145" s="249">
        <f t="shared" si="12"/>
        <v>325.65329844691598</v>
      </c>
      <c r="W145" s="916">
        <f t="shared" si="13"/>
        <v>0</v>
      </c>
      <c r="X145" s="235"/>
      <c r="Y145" s="943">
        <f>SUM(W145:W163)/($B$135-B144)</f>
        <v>0</v>
      </c>
      <c r="Z145" s="898">
        <f>SUM(D139:D145)+$C$138</f>
        <v>7</v>
      </c>
      <c r="AA145" s="906">
        <f t="shared" si="21"/>
        <v>68.499008599999996</v>
      </c>
      <c r="AB145" s="289">
        <f t="shared" si="14"/>
        <v>0.93041122620083849</v>
      </c>
      <c r="AC145" s="908">
        <f t="shared" si="22"/>
        <v>270.41738720240846</v>
      </c>
      <c r="AD145" s="906">
        <f t="shared" si="23"/>
        <v>64.181912400000002</v>
      </c>
      <c r="AE145" s="911">
        <f t="shared" si="24"/>
        <v>0.90018132923109617</v>
      </c>
      <c r="AF145" s="906">
        <f t="shared" si="25"/>
        <v>226.01138170522765</v>
      </c>
      <c r="AG145" s="944">
        <f t="shared" si="32"/>
        <v>-175.8</v>
      </c>
      <c r="AH145" s="254">
        <f t="shared" si="26"/>
        <v>496.42876890763614</v>
      </c>
      <c r="AI145" s="254">
        <f t="shared" si="34"/>
        <v>-226.01138170522765</v>
      </c>
      <c r="AJ145" s="254">
        <f t="shared" si="33"/>
        <v>226.01138170522765</v>
      </c>
      <c r="AK145" s="255">
        <f t="shared" si="27"/>
        <v>-95.762735054197535</v>
      </c>
      <c r="AL145" s="255">
        <f t="shared" si="28"/>
        <v>-80.037264945802463</v>
      </c>
      <c r="AM145" s="240">
        <f t="shared" si="15"/>
        <v>-121.13271402946987</v>
      </c>
      <c r="AN145" s="241">
        <f t="shared" si="16"/>
        <v>-124.94180063213727</v>
      </c>
      <c r="AO145" s="242">
        <f t="shared" si="29"/>
        <v>121.13271402946987</v>
      </c>
      <c r="AP145" s="242">
        <f t="shared" si="30"/>
        <v>124.94180063213727</v>
      </c>
      <c r="BC145" s="197"/>
      <c r="BD145" s="197"/>
      <c r="BE145" s="197"/>
    </row>
    <row r="146" spans="1:57" ht="20" thickBot="1" x14ac:dyDescent="0.35">
      <c r="B146" s="244">
        <v>9</v>
      </c>
      <c r="C146" s="245"/>
      <c r="D146" s="16">
        <v>1</v>
      </c>
      <c r="E146" s="234" t="s">
        <v>215</v>
      </c>
      <c r="F146" s="257" t="str">
        <f t="shared" si="17"/>
        <v>use the locking pin</v>
      </c>
      <c r="G146" s="248">
        <f t="shared" si="18"/>
        <v>1</v>
      </c>
      <c r="H146" s="888">
        <v>251.073172</v>
      </c>
      <c r="I146" s="889">
        <v>65.636175100000003</v>
      </c>
      <c r="J146" s="74">
        <f t="shared" si="19"/>
        <v>64.636175100000003</v>
      </c>
      <c r="K146" s="74">
        <f t="shared" si="6"/>
        <v>32.318087550000001</v>
      </c>
      <c r="L146" s="74"/>
      <c r="M146" s="74">
        <f t="shared" si="7"/>
        <v>0.53461916118589337</v>
      </c>
      <c r="N146" s="74">
        <f t="shared" si="8"/>
        <v>134.22852861092153</v>
      </c>
      <c r="O146" s="74">
        <f t="shared" si="9"/>
        <v>268.45705722184306</v>
      </c>
      <c r="P146" s="74">
        <f>+C138+D139+D140+D141+D142+D143+D144+D145+(D146/2)</f>
        <v>7.5</v>
      </c>
      <c r="Q146" s="74">
        <f t="shared" si="10"/>
        <v>0.13052619222005146</v>
      </c>
      <c r="R146" s="74">
        <f t="shared" si="11"/>
        <v>35.040677453767643</v>
      </c>
      <c r="S146" s="74">
        <f t="shared" si="20"/>
        <v>325.65329844691598</v>
      </c>
      <c r="T146" s="74">
        <f t="shared" si="31"/>
        <v>360.69397590068365</v>
      </c>
      <c r="U146" s="249">
        <f t="shared" si="12"/>
        <v>360.69397590068365</v>
      </c>
      <c r="W146" s="916">
        <f t="shared" si="13"/>
        <v>0</v>
      </c>
      <c r="X146" s="235"/>
      <c r="Y146" s="943">
        <f>SUM(W146:W163)/($B$135-B145)</f>
        <v>0</v>
      </c>
      <c r="Z146" s="898">
        <f>SUM(D139:D146)+$C$138</f>
        <v>8</v>
      </c>
      <c r="AA146" s="906">
        <f t="shared" si="21"/>
        <v>67.499008599999996</v>
      </c>
      <c r="AB146" s="289">
        <f t="shared" si="14"/>
        <v>0.92387291072723265</v>
      </c>
      <c r="AC146" s="908">
        <f t="shared" si="22"/>
        <v>268.5170724412709</v>
      </c>
      <c r="AD146" s="906">
        <f t="shared" si="23"/>
        <v>65.181912400000002</v>
      </c>
      <c r="AE146" s="911">
        <f t="shared" si="24"/>
        <v>0.9076450172391024</v>
      </c>
      <c r="AF146" s="906">
        <f t="shared" si="25"/>
        <v>227.88531352821613</v>
      </c>
      <c r="AG146" s="944">
        <f t="shared" si="32"/>
        <v>-205.1</v>
      </c>
      <c r="AH146" s="254">
        <f t="shared" si="26"/>
        <v>496.402385969487</v>
      </c>
      <c r="AI146" s="254">
        <f t="shared" si="34"/>
        <v>-227.88531352821613</v>
      </c>
      <c r="AJ146" s="254">
        <f t="shared" si="33"/>
        <v>227.88531352821613</v>
      </c>
      <c r="AK146" s="255">
        <f t="shared" si="27"/>
        <v>-110.94397028359549</v>
      </c>
      <c r="AL146" s="255">
        <f t="shared" si="28"/>
        <v>-94.156029716404532</v>
      </c>
      <c r="AM146" s="240">
        <f t="shared" si="15"/>
        <v>-104.55728211590072</v>
      </c>
      <c r="AN146" s="241">
        <f t="shared" si="16"/>
        <v>-106.20668724158968</v>
      </c>
      <c r="AO146" s="242">
        <f t="shared" si="29"/>
        <v>104.55728211590072</v>
      </c>
      <c r="AP146" s="242">
        <f t="shared" si="30"/>
        <v>106.20668724158968</v>
      </c>
      <c r="BC146" s="197"/>
      <c r="BD146" s="197"/>
      <c r="BE146" s="197"/>
    </row>
    <row r="147" spans="1:57" ht="20" thickBot="1" x14ac:dyDescent="0.35">
      <c r="B147" s="244">
        <v>10</v>
      </c>
      <c r="C147" s="245"/>
      <c r="D147" s="16">
        <v>1</v>
      </c>
      <c r="E147" s="234" t="s">
        <v>215</v>
      </c>
      <c r="F147" s="257" t="str">
        <f t="shared" si="17"/>
        <v>use the locking pin</v>
      </c>
      <c r="G147" s="248">
        <f t="shared" si="18"/>
        <v>1</v>
      </c>
      <c r="H147" s="888">
        <v>251.073172</v>
      </c>
      <c r="I147" s="889">
        <v>65.636175100000003</v>
      </c>
      <c r="J147" s="74">
        <f t="shared" si="19"/>
        <v>64.636175100000003</v>
      </c>
      <c r="K147" s="74">
        <f t="shared" si="6"/>
        <v>32.318087550000001</v>
      </c>
      <c r="L147" s="74"/>
      <c r="M147" s="74">
        <f t="shared" si="7"/>
        <v>0.53461916118589337</v>
      </c>
      <c r="N147" s="74">
        <f t="shared" si="8"/>
        <v>134.22852861092153</v>
      </c>
      <c r="O147" s="74">
        <f t="shared" si="9"/>
        <v>268.45705722184306</v>
      </c>
      <c r="P147" s="74">
        <f>+C138+D139+D140+D141+D142+D143+D144+D145+D146+(D147/2)</f>
        <v>8.5</v>
      </c>
      <c r="Q147" s="74">
        <f t="shared" si="10"/>
        <v>0.14780941112961046</v>
      </c>
      <c r="R147" s="74">
        <f t="shared" si="11"/>
        <v>39.680479541548763</v>
      </c>
      <c r="S147" s="74">
        <f t="shared" si="20"/>
        <v>360.69397590068365</v>
      </c>
      <c r="T147" s="74">
        <f t="shared" si="31"/>
        <v>400.37445544223243</v>
      </c>
      <c r="U147" s="249">
        <f t="shared" si="12"/>
        <v>400.37445544223243</v>
      </c>
      <c r="W147" s="916">
        <f t="shared" si="13"/>
        <v>0</v>
      </c>
      <c r="X147" s="235"/>
      <c r="Y147" s="943">
        <f>SUM(W147:W163)/($B$135-B146)</f>
        <v>0</v>
      </c>
      <c r="Z147" s="898">
        <f>SUM(D139:D147)+$C$138</f>
        <v>9</v>
      </c>
      <c r="AA147" s="906">
        <f t="shared" si="21"/>
        <v>66.499008599999996</v>
      </c>
      <c r="AB147" s="289">
        <f t="shared" si="14"/>
        <v>0.91705317461526137</v>
      </c>
      <c r="AC147" s="908">
        <f t="shared" si="22"/>
        <v>266.53496477868435</v>
      </c>
      <c r="AD147" s="906">
        <f t="shared" si="23"/>
        <v>66.181912400000002</v>
      </c>
      <c r="AE147" s="911">
        <f t="shared" si="24"/>
        <v>0.91483222778230289</v>
      </c>
      <c r="AF147" s="906">
        <f t="shared" si="25"/>
        <v>229.68982927712932</v>
      </c>
      <c r="AG147" s="944">
        <f t="shared" si="32"/>
        <v>-234.4</v>
      </c>
      <c r="AH147" s="254">
        <f t="shared" si="26"/>
        <v>496.22479405581367</v>
      </c>
      <c r="AI147" s="254">
        <f t="shared" si="34"/>
        <v>-229.68982927712932</v>
      </c>
      <c r="AJ147" s="254">
        <f t="shared" si="33"/>
        <v>229.68982927712932</v>
      </c>
      <c r="AK147" s="255">
        <f t="shared" si="27"/>
        <v>-125.90220499360326</v>
      </c>
      <c r="AL147" s="255">
        <f t="shared" si="28"/>
        <v>-108.49779500639674</v>
      </c>
      <c r="AM147" s="240">
        <f t="shared" si="15"/>
        <v>-92.135002723656541</v>
      </c>
      <c r="AN147" s="241">
        <f t="shared" si="16"/>
        <v>-92.167771699050903</v>
      </c>
      <c r="AO147" s="242">
        <f t="shared" si="29"/>
        <v>92.135002723656541</v>
      </c>
      <c r="AP147" s="242">
        <f t="shared" si="30"/>
        <v>92.167771699050903</v>
      </c>
      <c r="BC147" s="197"/>
      <c r="BD147" s="197"/>
      <c r="BE147" s="197"/>
    </row>
    <row r="148" spans="1:57" ht="20" thickBot="1" x14ac:dyDescent="0.35">
      <c r="A148" s="258"/>
      <c r="B148" s="244">
        <v>11</v>
      </c>
      <c r="C148" s="245"/>
      <c r="D148" s="16">
        <v>1</v>
      </c>
      <c r="E148" s="234" t="s">
        <v>215</v>
      </c>
      <c r="F148" s="257" t="str">
        <f t="shared" si="17"/>
        <v>use the locking pin</v>
      </c>
      <c r="G148" s="248">
        <f t="shared" si="18"/>
        <v>1</v>
      </c>
      <c r="H148" s="888">
        <v>251.073172</v>
      </c>
      <c r="I148" s="889">
        <v>65.636175100000003</v>
      </c>
      <c r="J148" s="74">
        <f t="shared" si="19"/>
        <v>64.636175100000003</v>
      </c>
      <c r="K148" s="74">
        <f t="shared" si="6"/>
        <v>32.318087550000001</v>
      </c>
      <c r="L148" s="74"/>
      <c r="M148" s="74">
        <f t="shared" si="7"/>
        <v>0.53461916118589337</v>
      </c>
      <c r="N148" s="74">
        <f t="shared" si="8"/>
        <v>134.22852861092153</v>
      </c>
      <c r="O148" s="74">
        <f t="shared" si="9"/>
        <v>268.45705722184306</v>
      </c>
      <c r="P148" s="74">
        <f>+C138+D139+D140+D141+D142+D143+D144+D145+D146+D147+(D148/2)</f>
        <v>9.5</v>
      </c>
      <c r="Q148" s="74">
        <f t="shared" si="10"/>
        <v>0.16504760586067749</v>
      </c>
      <c r="R148" s="74">
        <f t="shared" si="11"/>
        <v>44.308194570868096</v>
      </c>
      <c r="S148" s="74">
        <f t="shared" si="20"/>
        <v>400.37445544223243</v>
      </c>
      <c r="T148" s="74">
        <f t="shared" si="31"/>
        <v>444.68265001310056</v>
      </c>
      <c r="U148" s="249">
        <f t="shared" si="12"/>
        <v>444.68265001310056</v>
      </c>
      <c r="W148" s="916">
        <f t="shared" si="13"/>
        <v>0</v>
      </c>
      <c r="X148" s="235"/>
      <c r="Y148" s="943">
        <f>SUM(W148:W163)/($B$135-B147)</f>
        <v>0</v>
      </c>
      <c r="Z148" s="898">
        <f>SUM(D139:D148)+$C$138</f>
        <v>10</v>
      </c>
      <c r="AA148" s="906">
        <f t="shared" si="21"/>
        <v>65.499008599999996</v>
      </c>
      <c r="AB148" s="289">
        <f t="shared" si="14"/>
        <v>0.90995409522260873</v>
      </c>
      <c r="AC148" s="908">
        <f t="shared" si="22"/>
        <v>264.4716679838441</v>
      </c>
      <c r="AD148" s="906">
        <f t="shared" si="23"/>
        <v>67.181912400000002</v>
      </c>
      <c r="AE148" s="911">
        <f t="shared" si="24"/>
        <v>0.92174077156674206</v>
      </c>
      <c r="AF148" s="906">
        <f t="shared" si="25"/>
        <v>231.42437927898933</v>
      </c>
      <c r="AG148" s="944">
        <f t="shared" si="32"/>
        <v>-263.7</v>
      </c>
      <c r="AH148" s="254">
        <f t="shared" si="26"/>
        <v>495.89604726283346</v>
      </c>
      <c r="AI148" s="254">
        <f t="shared" si="34"/>
        <v>-231.42437927898933</v>
      </c>
      <c r="AJ148" s="254">
        <f t="shared" si="33"/>
        <v>231.42437927898933</v>
      </c>
      <c r="AK148" s="255">
        <f t="shared" si="27"/>
        <v>-140.63669035533903</v>
      </c>
      <c r="AL148" s="255">
        <f t="shared" si="28"/>
        <v>-123.06330964466092</v>
      </c>
      <c r="AM148" s="240">
        <f t="shared" si="15"/>
        <v>-82.482032040791879</v>
      </c>
      <c r="AN148" s="241">
        <f t="shared" si="16"/>
        <v>-81.25898798654525</v>
      </c>
      <c r="AO148" s="242">
        <f t="shared" si="29"/>
        <v>82.482032040791879</v>
      </c>
      <c r="AP148" s="242">
        <f t="shared" si="30"/>
        <v>81.25898798654525</v>
      </c>
      <c r="BC148" s="197"/>
      <c r="BD148" s="197"/>
      <c r="BE148" s="197"/>
    </row>
    <row r="149" spans="1:57" ht="20" thickBot="1" x14ac:dyDescent="0.35">
      <c r="A149" s="258"/>
      <c r="B149" s="244">
        <v>12</v>
      </c>
      <c r="C149" s="245"/>
      <c r="D149" s="16">
        <v>1</v>
      </c>
      <c r="E149" s="234" t="s">
        <v>215</v>
      </c>
      <c r="F149" s="257" t="str">
        <f t="shared" si="17"/>
        <v>use the locking pin</v>
      </c>
      <c r="G149" s="248">
        <f t="shared" si="18"/>
        <v>1</v>
      </c>
      <c r="H149" s="888">
        <v>251.073172</v>
      </c>
      <c r="I149" s="889">
        <v>65.636175100000003</v>
      </c>
      <c r="J149" s="74">
        <f t="shared" si="19"/>
        <v>64.636175100000003</v>
      </c>
      <c r="K149" s="74">
        <f t="shared" si="6"/>
        <v>32.318087550000001</v>
      </c>
      <c r="L149" s="74"/>
      <c r="M149" s="74">
        <f t="shared" si="7"/>
        <v>0.53461916118589337</v>
      </c>
      <c r="N149" s="74">
        <f t="shared" si="8"/>
        <v>134.22852861092153</v>
      </c>
      <c r="O149" s="74">
        <f t="shared" si="9"/>
        <v>268.45705722184306</v>
      </c>
      <c r="P149" s="74">
        <f>+C138+D139+D140+D141+D142+D143+D144+D145+D146+D147+D148+(D149/2)</f>
        <v>10.5</v>
      </c>
      <c r="Q149" s="74">
        <f t="shared" si="10"/>
        <v>0.18223552549214728</v>
      </c>
      <c r="R149" s="74">
        <f t="shared" si="11"/>
        <v>48.922412894898024</v>
      </c>
      <c r="S149" s="74">
        <f t="shared" si="20"/>
        <v>444.68265001310056</v>
      </c>
      <c r="T149" s="74">
        <f t="shared" si="31"/>
        <v>493.60506290799856</v>
      </c>
      <c r="U149" s="249">
        <f t="shared" si="12"/>
        <v>493.60506290799856</v>
      </c>
      <c r="W149" s="916">
        <f t="shared" si="13"/>
        <v>0</v>
      </c>
      <c r="X149" s="235"/>
      <c r="Y149" s="943">
        <f>SUM(W149:W163)/($B$135-B148)</f>
        <v>0</v>
      </c>
      <c r="Z149" s="898">
        <f>SUM(D139:D149)+$C$138</f>
        <v>11</v>
      </c>
      <c r="AA149" s="906">
        <f t="shared" si="21"/>
        <v>64.499008599999996</v>
      </c>
      <c r="AB149" s="289">
        <f t="shared" si="14"/>
        <v>0.902577834997628</v>
      </c>
      <c r="AC149" s="908">
        <f t="shared" si="22"/>
        <v>262.32781055694142</v>
      </c>
      <c r="AD149" s="906">
        <f t="shared" si="23"/>
        <v>68.181912400000002</v>
      </c>
      <c r="AE149" s="911">
        <f t="shared" si="24"/>
        <v>0.9283685441830587</v>
      </c>
      <c r="AF149" s="906">
        <f t="shared" si="25"/>
        <v>233.08843517306269</v>
      </c>
      <c r="AG149" s="944">
        <f t="shared" si="32"/>
        <v>-293</v>
      </c>
      <c r="AH149" s="254">
        <f t="shared" si="26"/>
        <v>495.41624573000411</v>
      </c>
      <c r="AI149" s="254">
        <f t="shared" si="34"/>
        <v>-233.08843517306269</v>
      </c>
      <c r="AJ149" s="254">
        <f t="shared" si="33"/>
        <v>233.08843517306269</v>
      </c>
      <c r="AK149" s="255">
        <f t="shared" si="27"/>
        <v>-155.14640296045667</v>
      </c>
      <c r="AL149" s="255">
        <f t="shared" si="28"/>
        <v>-137.85359703954333</v>
      </c>
      <c r="AM149" s="240">
        <f t="shared" si="15"/>
        <v>-74.76808858376549</v>
      </c>
      <c r="AN149" s="241">
        <f t="shared" si="16"/>
        <v>-72.540725920495916</v>
      </c>
      <c r="AO149" s="242">
        <f t="shared" si="29"/>
        <v>74.76808858376549</v>
      </c>
      <c r="AP149" s="242">
        <f t="shared" si="30"/>
        <v>72.540725920495916</v>
      </c>
      <c r="BC149" s="197"/>
      <c r="BD149" s="197"/>
      <c r="BE149" s="197"/>
    </row>
    <row r="150" spans="1:57" ht="20" thickBot="1" x14ac:dyDescent="0.35">
      <c r="B150" s="244">
        <v>13</v>
      </c>
      <c r="C150" s="245"/>
      <c r="D150" s="16">
        <v>1</v>
      </c>
      <c r="E150" s="234" t="s">
        <v>215</v>
      </c>
      <c r="F150" s="257" t="str">
        <f t="shared" si="17"/>
        <v>use the locking pin</v>
      </c>
      <c r="G150" s="248">
        <f t="shared" si="18"/>
        <v>1</v>
      </c>
      <c r="H150" s="888">
        <v>251.073172</v>
      </c>
      <c r="I150" s="889">
        <v>65.636175100000003</v>
      </c>
      <c r="J150" s="74">
        <f t="shared" si="19"/>
        <v>64.636175100000003</v>
      </c>
      <c r="K150" s="74">
        <f t="shared" si="6"/>
        <v>32.318087550000001</v>
      </c>
      <c r="L150" s="74"/>
      <c r="M150" s="74">
        <f t="shared" si="7"/>
        <v>0.53461916118589337</v>
      </c>
      <c r="N150" s="74">
        <f t="shared" si="8"/>
        <v>134.22852861092153</v>
      </c>
      <c r="O150" s="74">
        <f t="shared" si="9"/>
        <v>268.45705722184306</v>
      </c>
      <c r="P150" s="74">
        <f>+C138+D139+D140+D141+D142+D143+D144+D145+D146+D147+D148+D149+(D150/2)</f>
        <v>11.5</v>
      </c>
      <c r="Q150" s="74">
        <f t="shared" si="10"/>
        <v>0.19936793441719697</v>
      </c>
      <c r="R150" s="74">
        <f t="shared" si="11"/>
        <v>53.521728978038098</v>
      </c>
      <c r="S150" s="74">
        <f t="shared" si="20"/>
        <v>493.60506290799856</v>
      </c>
      <c r="T150" s="74">
        <f t="shared" si="31"/>
        <v>547.1267918860367</v>
      </c>
      <c r="U150" s="249">
        <f t="shared" si="12"/>
        <v>547.1267918860367</v>
      </c>
      <c r="W150" s="916">
        <f t="shared" si="13"/>
        <v>0</v>
      </c>
      <c r="X150" s="235"/>
      <c r="Y150" s="943">
        <f>SUM(W150:W163)/($B$135-B149)</f>
        <v>0</v>
      </c>
      <c r="Z150" s="898">
        <f>SUM(D139:D150)+$C$138</f>
        <v>12</v>
      </c>
      <c r="AA150" s="906">
        <f t="shared" si="21"/>
        <v>63.499008599999996</v>
      </c>
      <c r="AB150" s="289">
        <f t="shared" si="14"/>
        <v>0.89492664082063922</v>
      </c>
      <c r="AC150" s="908">
        <f t="shared" si="22"/>
        <v>260.1040455377165</v>
      </c>
      <c r="AD150" s="906">
        <f t="shared" si="23"/>
        <v>69.181912400000002</v>
      </c>
      <c r="AE150" s="911">
        <f t="shared" si="24"/>
        <v>0.93471352674750907</v>
      </c>
      <c r="AF150" s="906">
        <f t="shared" si="25"/>
        <v>234.68149007180395</v>
      </c>
      <c r="AG150" s="944">
        <f t="shared" si="32"/>
        <v>-322.3</v>
      </c>
      <c r="AH150" s="254">
        <f t="shared" si="26"/>
        <v>494.78553560952048</v>
      </c>
      <c r="AI150" s="254">
        <f t="shared" si="34"/>
        <v>-234.68149007180395</v>
      </c>
      <c r="AJ150" s="254">
        <f t="shared" si="33"/>
        <v>234.68149007180395</v>
      </c>
      <c r="AK150" s="255">
        <f t="shared" si="27"/>
        <v>-169.43004159071657</v>
      </c>
      <c r="AL150" s="255">
        <f t="shared" si="28"/>
        <v>-152.86995840928341</v>
      </c>
      <c r="AM150" s="240">
        <f t="shared" si="15"/>
        <v>-68.464835935185107</v>
      </c>
      <c r="AN150" s="241">
        <f t="shared" si="16"/>
        <v>-65.415076343690075</v>
      </c>
      <c r="AO150" s="242">
        <f t="shared" si="29"/>
        <v>68.464835935185107</v>
      </c>
      <c r="AP150" s="242">
        <f t="shared" si="30"/>
        <v>65.415076343690075</v>
      </c>
      <c r="BC150" s="197"/>
      <c r="BD150" s="197"/>
      <c r="BE150" s="197"/>
    </row>
    <row r="151" spans="1:57" ht="20" thickBot="1" x14ac:dyDescent="0.35">
      <c r="B151" s="244">
        <v>14</v>
      </c>
      <c r="C151" s="245"/>
      <c r="D151" s="16">
        <v>1</v>
      </c>
      <c r="E151" s="234" t="s">
        <v>215</v>
      </c>
      <c r="F151" s="257" t="str">
        <f t="shared" si="17"/>
        <v>use the locking pin</v>
      </c>
      <c r="G151" s="248">
        <f t="shared" si="18"/>
        <v>1</v>
      </c>
      <c r="H151" s="888">
        <v>251.073172</v>
      </c>
      <c r="I151" s="889">
        <v>65.636175100000003</v>
      </c>
      <c r="J151" s="74">
        <f t="shared" si="19"/>
        <v>64.636175100000003</v>
      </c>
      <c r="K151" s="74">
        <f t="shared" si="6"/>
        <v>32.318087550000001</v>
      </c>
      <c r="L151" s="74"/>
      <c r="M151" s="74">
        <f t="shared" si="7"/>
        <v>0.53461916118589337</v>
      </c>
      <c r="N151" s="74">
        <f t="shared" si="8"/>
        <v>134.22852861092153</v>
      </c>
      <c r="O151" s="74">
        <f t="shared" si="9"/>
        <v>268.45705722184306</v>
      </c>
      <c r="P151" s="74">
        <f>+C138+D139+D140+D141+D142+D143+D144+D145+D146+D147+D148+D149+D150+(D151/2)</f>
        <v>12.5</v>
      </c>
      <c r="Q151" s="74">
        <f t="shared" si="10"/>
        <v>0.21643961393810265</v>
      </c>
      <c r="R151" s="74">
        <f t="shared" si="11"/>
        <v>58.104741824054848</v>
      </c>
      <c r="S151" s="74">
        <f t="shared" si="20"/>
        <v>547.1267918860367</v>
      </c>
      <c r="T151" s="74">
        <f t="shared" si="31"/>
        <v>605.23153371009153</v>
      </c>
      <c r="U151" s="249">
        <f t="shared" si="12"/>
        <v>605.23153371009153</v>
      </c>
      <c r="W151" s="916">
        <f t="shared" si="13"/>
        <v>0</v>
      </c>
      <c r="X151" s="235"/>
      <c r="Y151" s="943">
        <f>SUM(W151:W163)/($B$135-B150)</f>
        <v>0</v>
      </c>
      <c r="Z151" s="898">
        <f>SUM(D139:D151)+$C$138</f>
        <v>13</v>
      </c>
      <c r="AA151" s="906">
        <f t="shared" si="21"/>
        <v>62.499008599999996</v>
      </c>
      <c r="AB151" s="289">
        <f t="shared" si="14"/>
        <v>0.88700284331950752</v>
      </c>
      <c r="AC151" s="908">
        <f t="shared" si="22"/>
        <v>257.8010503065363</v>
      </c>
      <c r="AD151" s="906">
        <f t="shared" si="23"/>
        <v>70.181912400000002</v>
      </c>
      <c r="AE151" s="911">
        <f t="shared" si="24"/>
        <v>0.94077378651693899</v>
      </c>
      <c r="AF151" s="906">
        <f t="shared" si="25"/>
        <v>236.20305871525869</v>
      </c>
      <c r="AG151" s="944">
        <f t="shared" si="32"/>
        <v>-351.6</v>
      </c>
      <c r="AH151" s="254">
        <f t="shared" si="26"/>
        <v>494.00410902179499</v>
      </c>
      <c r="AI151" s="254">
        <f t="shared" si="34"/>
        <v>-236.20305871525869</v>
      </c>
      <c r="AJ151" s="254">
        <f t="shared" si="33"/>
        <v>236.20305871525869</v>
      </c>
      <c r="AK151" s="255">
        <f t="shared" si="27"/>
        <v>-183.4860229548801</v>
      </c>
      <c r="AL151" s="255">
        <f t="shared" si="28"/>
        <v>-168.11397704511992</v>
      </c>
      <c r="AM151" s="240">
        <f t="shared" si="15"/>
        <v>-63.220074277006283</v>
      </c>
      <c r="AN151" s="241">
        <f t="shared" si="16"/>
        <v>-59.483453879126962</v>
      </c>
      <c r="AO151" s="242">
        <f t="shared" si="29"/>
        <v>63.220074277006283</v>
      </c>
      <c r="AP151" s="242">
        <f t="shared" si="30"/>
        <v>59.483453879126962</v>
      </c>
      <c r="BC151" s="197"/>
      <c r="BD151" s="197"/>
      <c r="BE151" s="197"/>
    </row>
    <row r="152" spans="1:57" ht="20" thickBot="1" x14ac:dyDescent="0.35">
      <c r="B152" s="244">
        <v>15</v>
      </c>
      <c r="C152" s="245"/>
      <c r="D152" s="16">
        <v>1</v>
      </c>
      <c r="E152" s="234" t="s">
        <v>215</v>
      </c>
      <c r="F152" s="257" t="str">
        <f t="shared" si="17"/>
        <v>use the locking pin</v>
      </c>
      <c r="G152" s="248">
        <f t="shared" si="18"/>
        <v>1</v>
      </c>
      <c r="H152" s="888">
        <v>251.073172</v>
      </c>
      <c r="I152" s="889">
        <v>65.636175100000003</v>
      </c>
      <c r="J152" s="74">
        <f t="shared" si="19"/>
        <v>64.636175100000003</v>
      </c>
      <c r="K152" s="74">
        <f t="shared" si="6"/>
        <v>32.318087550000001</v>
      </c>
      <c r="L152" s="74"/>
      <c r="M152" s="74">
        <f t="shared" si="7"/>
        <v>0.53461916118589337</v>
      </c>
      <c r="N152" s="74">
        <f t="shared" si="8"/>
        <v>134.22852861092153</v>
      </c>
      <c r="O152" s="74">
        <f t="shared" si="9"/>
        <v>268.45705722184306</v>
      </c>
      <c r="P152" s="74">
        <f>+C138+D139+D140+D141+D142+D143+D144+D145+D146+D147+D148+D149+D150+D151+(D152/2)</f>
        <v>13.5</v>
      </c>
      <c r="Q152" s="74">
        <f t="shared" si="10"/>
        <v>0.23344536385590517</v>
      </c>
      <c r="R152" s="74">
        <f t="shared" si="11"/>
        <v>62.670055402838706</v>
      </c>
      <c r="S152" s="74">
        <f t="shared" si="20"/>
        <v>605.23153371009153</v>
      </c>
      <c r="T152" s="74">
        <f t="shared" si="31"/>
        <v>667.9015891129302</v>
      </c>
      <c r="U152" s="249">
        <f t="shared" si="12"/>
        <v>667.9015891129302</v>
      </c>
      <c r="W152" s="916">
        <f t="shared" si="13"/>
        <v>0</v>
      </c>
      <c r="X152" s="235"/>
      <c r="Y152" s="943">
        <f>SUM(W152:W163)/($B$135-B151)</f>
        <v>0</v>
      </c>
      <c r="Z152" s="898">
        <f>SUM(D139:D152)+$C$138</f>
        <v>14</v>
      </c>
      <c r="AA152" s="906">
        <f t="shared" si="21"/>
        <v>61.499008599999996</v>
      </c>
      <c r="AB152" s="289">
        <f t="shared" si="14"/>
        <v>0.87880885615971105</v>
      </c>
      <c r="AC152" s="908">
        <f t="shared" si="22"/>
        <v>255.4195263780579</v>
      </c>
      <c r="AD152" s="906">
        <f t="shared" si="23"/>
        <v>71.181912400000002</v>
      </c>
      <c r="AE152" s="911">
        <f t="shared" si="24"/>
        <v>0.94654747747751544</v>
      </c>
      <c r="AF152" s="906">
        <f t="shared" si="25"/>
        <v>237.65267761887836</v>
      </c>
      <c r="AG152" s="944">
        <f t="shared" si="32"/>
        <v>-380.90000000000003</v>
      </c>
      <c r="AH152" s="254">
        <f t="shared" si="26"/>
        <v>493.07220399693625</v>
      </c>
      <c r="AI152" s="254">
        <f t="shared" si="34"/>
        <v>-237.65267761887836</v>
      </c>
      <c r="AJ152" s="254">
        <f t="shared" si="33"/>
        <v>237.65267761887836</v>
      </c>
      <c r="AK152" s="255">
        <f t="shared" si="27"/>
        <v>-197.31247636503713</v>
      </c>
      <c r="AL152" s="255">
        <f t="shared" si="28"/>
        <v>-183.58752363496288</v>
      </c>
      <c r="AM152" s="240">
        <f t="shared" si="15"/>
        <v>-58.78999753943318</v>
      </c>
      <c r="AN152" s="241">
        <f t="shared" si="16"/>
        <v>-54.469932389760579</v>
      </c>
      <c r="AO152" s="242">
        <f t="shared" si="29"/>
        <v>58.78999753943318</v>
      </c>
      <c r="AP152" s="242">
        <f t="shared" si="30"/>
        <v>54.469932389760579</v>
      </c>
      <c r="BC152" s="197"/>
      <c r="BD152" s="197"/>
      <c r="BE152" s="197"/>
    </row>
    <row r="153" spans="1:57" ht="20" thickBot="1" x14ac:dyDescent="0.35">
      <c r="B153" s="244">
        <v>16</v>
      </c>
      <c r="C153" s="245"/>
      <c r="D153" s="16">
        <v>1</v>
      </c>
      <c r="E153" s="234" t="s">
        <v>215</v>
      </c>
      <c r="F153" s="257" t="str">
        <f t="shared" si="17"/>
        <v>use the locking pin</v>
      </c>
      <c r="G153" s="248">
        <f t="shared" si="18"/>
        <v>1</v>
      </c>
      <c r="H153" s="888">
        <v>251.073172</v>
      </c>
      <c r="I153" s="889">
        <v>65.636175100000003</v>
      </c>
      <c r="J153" s="74">
        <f t="shared" si="19"/>
        <v>64.636175100000003</v>
      </c>
      <c r="K153" s="74">
        <f t="shared" si="6"/>
        <v>32.318087550000001</v>
      </c>
      <c r="L153" s="74"/>
      <c r="M153" s="74">
        <f t="shared" si="7"/>
        <v>0.53461916118589337</v>
      </c>
      <c r="N153" s="74">
        <f t="shared" si="8"/>
        <v>134.22852861092153</v>
      </c>
      <c r="O153" s="74">
        <f t="shared" si="9"/>
        <v>268.45705722184306</v>
      </c>
      <c r="P153" s="74">
        <f>+C138+D139+D140+D141+D142+D143+D144+D145+D146+D147+D148+D149+D150+D151+D152+(D153/2)</f>
        <v>14.5</v>
      </c>
      <c r="Q153" s="74">
        <f t="shared" si="10"/>
        <v>0.25038000405444116</v>
      </c>
      <c r="R153" s="74">
        <f t="shared" si="11"/>
        <v>67.216279075648401</v>
      </c>
      <c r="S153" s="74">
        <f t="shared" si="20"/>
        <v>667.9015891129302</v>
      </c>
      <c r="T153" s="74">
        <f t="shared" si="31"/>
        <v>735.11786818857854</v>
      </c>
      <c r="U153" s="249">
        <f t="shared" si="12"/>
        <v>735.11786818857854</v>
      </c>
      <c r="W153" s="916">
        <f t="shared" si="13"/>
        <v>0</v>
      </c>
      <c r="X153" s="235"/>
      <c r="Y153" s="943">
        <f>SUM(W153:W163)/($B$135-B152)</f>
        <v>0</v>
      </c>
      <c r="Z153" s="898">
        <f>SUM(D139:D153)+$C$138</f>
        <v>15</v>
      </c>
      <c r="AA153" s="906">
        <f t="shared" si="21"/>
        <v>60.499008599999996</v>
      </c>
      <c r="AB153" s="289">
        <f t="shared" si="14"/>
        <v>0.87034717530911587</v>
      </c>
      <c r="AC153" s="908">
        <f t="shared" si="22"/>
        <v>252.96019918754024</v>
      </c>
      <c r="AD153" s="906">
        <f t="shared" si="23"/>
        <v>72.181912400000002</v>
      </c>
      <c r="AE153" s="911">
        <f t="shared" si="24"/>
        <v>0.95203284090704099</v>
      </c>
      <c r="AF153" s="906">
        <f t="shared" si="25"/>
        <v>239.02990521470213</v>
      </c>
      <c r="AG153" s="944">
        <f t="shared" si="32"/>
        <v>-410.2</v>
      </c>
      <c r="AH153" s="254">
        <f t="shared" si="26"/>
        <v>491.99010440224237</v>
      </c>
      <c r="AI153" s="254">
        <f t="shared" si="34"/>
        <v>-239.02990521470213</v>
      </c>
      <c r="AJ153" s="254">
        <f t="shared" si="33"/>
        <v>239.02990521470213</v>
      </c>
      <c r="AK153" s="255">
        <f t="shared" si="27"/>
        <v>-210.90723731689766</v>
      </c>
      <c r="AL153" s="255">
        <f t="shared" si="28"/>
        <v>-199.2927626831023</v>
      </c>
      <c r="AM153" s="240">
        <f t="shared" si="15"/>
        <v>-55.00048337635031</v>
      </c>
      <c r="AN153" s="241">
        <f t="shared" si="16"/>
        <v>-50.17743677878115</v>
      </c>
      <c r="AO153" s="242">
        <f t="shared" si="29"/>
        <v>55.00048337635031</v>
      </c>
      <c r="AP153" s="242">
        <f t="shared" si="30"/>
        <v>50.17743677878115</v>
      </c>
      <c r="BC153" s="197"/>
      <c r="BD153" s="197"/>
      <c r="BE153" s="197"/>
    </row>
    <row r="154" spans="1:57" ht="20" thickBot="1" x14ac:dyDescent="0.35">
      <c r="B154" s="244">
        <v>17</v>
      </c>
      <c r="C154" s="245"/>
      <c r="D154" s="16">
        <v>1</v>
      </c>
      <c r="E154" s="234" t="s">
        <v>215</v>
      </c>
      <c r="F154" s="257" t="str">
        <f t="shared" si="17"/>
        <v>use the locking pin</v>
      </c>
      <c r="G154" s="248">
        <f t="shared" si="18"/>
        <v>1</v>
      </c>
      <c r="H154" s="888">
        <v>251.073172</v>
      </c>
      <c r="I154" s="889">
        <v>65.636175100000003</v>
      </c>
      <c r="J154" s="74">
        <f t="shared" si="19"/>
        <v>64.636175100000003</v>
      </c>
      <c r="K154" s="74">
        <f t="shared" si="6"/>
        <v>32.318087550000001</v>
      </c>
      <c r="L154" s="74"/>
      <c r="M154" s="74">
        <f t="shared" si="7"/>
        <v>0.53461916118589337</v>
      </c>
      <c r="N154" s="74">
        <f t="shared" si="8"/>
        <v>134.22852861092153</v>
      </c>
      <c r="O154" s="74">
        <f t="shared" si="9"/>
        <v>268.45705722184306</v>
      </c>
      <c r="P154" s="74">
        <f>+C138+D139+D140+D141+D142+D143+D144+D145+D146+D147+D148+D149+D150+D151+D152+D153+(D154/2)</f>
        <v>15.5</v>
      </c>
      <c r="Q154" s="74">
        <f t="shared" si="10"/>
        <v>0.26723837607825657</v>
      </c>
      <c r="R154" s="74">
        <f t="shared" si="11"/>
        <v>71.742028018712944</v>
      </c>
      <c r="S154" s="74">
        <f t="shared" si="20"/>
        <v>735.11786818857854</v>
      </c>
      <c r="T154" s="74">
        <f t="shared" si="31"/>
        <v>806.85989620729151</v>
      </c>
      <c r="U154" s="249">
        <f t="shared" si="12"/>
        <v>806.85989620729151</v>
      </c>
      <c r="W154" s="916">
        <f t="shared" si="13"/>
        <v>0</v>
      </c>
      <c r="X154" s="235"/>
      <c r="Y154" s="943">
        <f>SUM(W154:W163)/($B$135-B153)</f>
        <v>0</v>
      </c>
      <c r="Z154" s="898">
        <f>SUM(D139:D154)+$C$138</f>
        <v>16</v>
      </c>
      <c r="AA154" s="906">
        <f t="shared" si="21"/>
        <v>59.499008599999996</v>
      </c>
      <c r="AB154" s="289">
        <f t="shared" si="14"/>
        <v>0.86162037827767901</v>
      </c>
      <c r="AC154" s="908">
        <f t="shared" si="22"/>
        <v>250.42381786986954</v>
      </c>
      <c r="AD154" s="906">
        <f t="shared" si="23"/>
        <v>73.181912400000002</v>
      </c>
      <c r="AE154" s="911">
        <f t="shared" si="24"/>
        <v>0.95722820591067703</v>
      </c>
      <c r="AF154" s="906">
        <f t="shared" si="25"/>
        <v>240.33432198586283</v>
      </c>
      <c r="AG154" s="944">
        <f t="shared" si="32"/>
        <v>-439.5</v>
      </c>
      <c r="AH154" s="254">
        <f t="shared" si="26"/>
        <v>490.75813985573234</v>
      </c>
      <c r="AI154" s="254">
        <f t="shared" si="34"/>
        <v>-240.33432198586283</v>
      </c>
      <c r="AJ154" s="254">
        <f t="shared" si="33"/>
        <v>240.33432198586283</v>
      </c>
      <c r="AK154" s="255">
        <f t="shared" si="27"/>
        <v>-224.26783993060664</v>
      </c>
      <c r="AL154" s="255">
        <f t="shared" si="28"/>
        <v>-215.23216006939336</v>
      </c>
      <c r="AM154" s="240">
        <f t="shared" si="15"/>
        <v>-51.723867334653477</v>
      </c>
      <c r="AN154" s="241">
        <f t="shared" si="16"/>
        <v>-46.461458161159015</v>
      </c>
      <c r="AO154" s="242">
        <f t="shared" si="29"/>
        <v>51.723867334653477</v>
      </c>
      <c r="AP154" s="242">
        <f t="shared" si="30"/>
        <v>46.461458161159015</v>
      </c>
      <c r="BC154" s="197"/>
      <c r="BD154" s="197"/>
      <c r="BE154" s="197"/>
    </row>
    <row r="155" spans="1:57" ht="20" thickBot="1" x14ac:dyDescent="0.35">
      <c r="B155" s="244">
        <v>18</v>
      </c>
      <c r="C155" s="245"/>
      <c r="D155" s="16">
        <v>1</v>
      </c>
      <c r="E155" s="234" t="s">
        <v>215</v>
      </c>
      <c r="F155" s="257" t="str">
        <f t="shared" si="17"/>
        <v>use the locking pin</v>
      </c>
      <c r="G155" s="248">
        <f t="shared" si="18"/>
        <v>1</v>
      </c>
      <c r="H155" s="888">
        <v>251.073172</v>
      </c>
      <c r="I155" s="889">
        <v>65.636175100000003</v>
      </c>
      <c r="J155" s="74">
        <f t="shared" si="19"/>
        <v>64.636175100000003</v>
      </c>
      <c r="K155" s="74">
        <f t="shared" si="6"/>
        <v>32.318087550000001</v>
      </c>
      <c r="L155" s="74"/>
      <c r="M155" s="74">
        <f t="shared" si="7"/>
        <v>0.53461916118589337</v>
      </c>
      <c r="N155" s="74">
        <f t="shared" si="8"/>
        <v>134.22852861092153</v>
      </c>
      <c r="O155" s="74">
        <f t="shared" si="9"/>
        <v>268.45705722184306</v>
      </c>
      <c r="P155" s="74">
        <f>+C138+D139+D140+D141+D142+D143+D144+D145+D146+D147+D148+D149+D150+D151+D152+D153+D154+(D155/2)</f>
        <v>16.5</v>
      </c>
      <c r="Q155" s="74">
        <f t="shared" si="10"/>
        <v>0.28401534470392237</v>
      </c>
      <c r="R155" s="74">
        <f t="shared" si="11"/>
        <v>76.245923645062362</v>
      </c>
      <c r="S155" s="74">
        <f t="shared" si="20"/>
        <v>806.85989620729151</v>
      </c>
      <c r="T155" s="74">
        <f t="shared" si="31"/>
        <v>883.10581985235387</v>
      </c>
      <c r="U155" s="249">
        <f t="shared" si="12"/>
        <v>883.10581985235387</v>
      </c>
      <c r="W155" s="916">
        <f t="shared" si="13"/>
        <v>0</v>
      </c>
      <c r="X155" s="235"/>
      <c r="Y155" s="943">
        <f>SUM(W155:W163)/($B$135-B154)</f>
        <v>0</v>
      </c>
      <c r="Z155" s="898">
        <f>SUM(D139:D155)+$C$138</f>
        <v>17</v>
      </c>
      <c r="AA155" s="906">
        <f t="shared" si="21"/>
        <v>58.499008599999996</v>
      </c>
      <c r="AB155" s="289">
        <f t="shared" si="14"/>
        <v>0.85263112333231494</v>
      </c>
      <c r="AC155" s="908">
        <f t="shared" si="22"/>
        <v>247.81115503136576</v>
      </c>
      <c r="AD155" s="906">
        <f t="shared" si="23"/>
        <v>74.181912400000002</v>
      </c>
      <c r="AE155" s="911">
        <f t="shared" si="24"/>
        <v>0.96213198992991489</v>
      </c>
      <c r="AF155" s="906">
        <f t="shared" si="25"/>
        <v>241.56553059437579</v>
      </c>
      <c r="AG155" s="944">
        <f t="shared" si="32"/>
        <v>-468.8</v>
      </c>
      <c r="AH155" s="254">
        <f t="shared" si="26"/>
        <v>489.37668562574152</v>
      </c>
      <c r="AI155" s="254">
        <f t="shared" si="34"/>
        <v>-241.56553059437579</v>
      </c>
      <c r="AJ155" s="254">
        <f t="shared" si="33"/>
        <v>241.56553059437579</v>
      </c>
      <c r="AK155" s="255">
        <f t="shared" si="27"/>
        <v>-237.39150820018841</v>
      </c>
      <c r="AL155" s="255">
        <f t="shared" si="28"/>
        <v>-231.40849179981157</v>
      </c>
      <c r="AM155" s="240">
        <f t="shared" si="15"/>
        <v>-48.864426903669646</v>
      </c>
      <c r="AN155" s="241">
        <f t="shared" si="16"/>
        <v>-43.213625922815609</v>
      </c>
      <c r="AO155" s="242">
        <f t="shared" si="29"/>
        <v>48.864426903669646</v>
      </c>
      <c r="AP155" s="242">
        <f t="shared" si="30"/>
        <v>43.213625922815609</v>
      </c>
      <c r="BC155" s="197"/>
      <c r="BD155" s="197"/>
      <c r="BE155" s="197"/>
    </row>
    <row r="156" spans="1:57" ht="20" thickBot="1" x14ac:dyDescent="0.35">
      <c r="B156" s="244">
        <v>19</v>
      </c>
      <c r="C156" s="245"/>
      <c r="D156" s="16">
        <v>1</v>
      </c>
      <c r="E156" s="234" t="s">
        <v>215</v>
      </c>
      <c r="F156" s="235" t="str">
        <f t="shared" si="17"/>
        <v>use the locking pin</v>
      </c>
      <c r="G156" s="884">
        <f t="shared" si="18"/>
        <v>1</v>
      </c>
      <c r="H156" s="888">
        <v>251.073172</v>
      </c>
      <c r="I156" s="889">
        <v>65.636175100000003</v>
      </c>
      <c r="J156" s="74">
        <f t="shared" si="19"/>
        <v>64.636175100000003</v>
      </c>
      <c r="K156" s="74">
        <f t="shared" si="6"/>
        <v>32.318087550000001</v>
      </c>
      <c r="L156" s="74"/>
      <c r="M156" s="74">
        <f t="shared" si="7"/>
        <v>0.53461916118589337</v>
      </c>
      <c r="N156" s="74">
        <f t="shared" si="8"/>
        <v>134.22852861092153</v>
      </c>
      <c r="O156" s="74">
        <f t="shared" si="9"/>
        <v>268.45705722184306</v>
      </c>
      <c r="P156" s="74">
        <f>+C138+D139+D140+D141+D142+D143+D144+D145+D146+D147+D148+D149+D150+D151+D152+D153+D154+D155+(D156/2)</f>
        <v>17.5</v>
      </c>
      <c r="Q156" s="74">
        <f t="shared" si="10"/>
        <v>0.30070579950427284</v>
      </c>
      <c r="R156" s="74">
        <f t="shared" si="11"/>
        <v>80.726594024458635</v>
      </c>
      <c r="S156" s="74">
        <f t="shared" si="20"/>
        <v>883.10581985235387</v>
      </c>
      <c r="T156" s="74">
        <f t="shared" si="31"/>
        <v>963.83241387681255</v>
      </c>
      <c r="U156" s="249">
        <f t="shared" si="12"/>
        <v>963.83241387681255</v>
      </c>
      <c r="W156" s="916">
        <f t="shared" si="13"/>
        <v>0</v>
      </c>
      <c r="X156" s="235"/>
      <c r="Y156" s="943">
        <f>SUM(W156:W163)/($B$135-B155)</f>
        <v>0</v>
      </c>
      <c r="Z156" s="898">
        <f>SUM(D139:D156)+$C$138</f>
        <v>18</v>
      </c>
      <c r="AA156" s="906">
        <f t="shared" si="21"/>
        <v>57.499008599999996</v>
      </c>
      <c r="AB156" s="289">
        <f t="shared" si="14"/>
        <v>0.84338214868716044</v>
      </c>
      <c r="AC156" s="908">
        <f t="shared" si="22"/>
        <v>245.12300651443877</v>
      </c>
      <c r="AD156" s="906">
        <f t="shared" si="23"/>
        <v>75.181912400000002</v>
      </c>
      <c r="AE156" s="911">
        <f t="shared" si="24"/>
        <v>0.96674269922463818</v>
      </c>
      <c r="AF156" s="906">
        <f t="shared" si="25"/>
        <v>242.72315600217186</v>
      </c>
      <c r="AG156" s="944">
        <f t="shared" si="32"/>
        <v>-498.1</v>
      </c>
      <c r="AH156" s="254">
        <f t="shared" si="26"/>
        <v>487.84616251661066</v>
      </c>
      <c r="AI156" s="254">
        <f t="shared" si="34"/>
        <v>-242.72315600217186</v>
      </c>
      <c r="AJ156" s="254">
        <f t="shared" si="33"/>
        <v>242.72315600217186</v>
      </c>
      <c r="AK156" s="255">
        <f t="shared" si="27"/>
        <v>-250.27514599068869</v>
      </c>
      <c r="AL156" s="255">
        <f t="shared" si="28"/>
        <v>-247.82485400931134</v>
      </c>
      <c r="AM156" s="240">
        <f t="shared" si="15"/>
        <v>-46.348989045966114</v>
      </c>
      <c r="AN156" s="241">
        <f t="shared" si="16"/>
        <v>-40.351077941618712</v>
      </c>
      <c r="AO156" s="242">
        <f t="shared" si="29"/>
        <v>46.348989045966114</v>
      </c>
      <c r="AP156" s="242">
        <f t="shared" si="30"/>
        <v>40.351077941618712</v>
      </c>
      <c r="BC156" s="197"/>
      <c r="BD156" s="197"/>
      <c r="BE156" s="197"/>
    </row>
    <row r="157" spans="1:57" ht="20" thickBot="1" x14ac:dyDescent="0.35">
      <c r="B157" s="244">
        <v>20</v>
      </c>
      <c r="C157" s="245"/>
      <c r="D157" s="16">
        <v>1</v>
      </c>
      <c r="E157" s="234" t="s">
        <v>215</v>
      </c>
      <c r="F157" s="248" t="str">
        <f t="shared" si="17"/>
        <v>use the locking pin</v>
      </c>
      <c r="G157" s="884">
        <f t="shared" si="18"/>
        <v>1</v>
      </c>
      <c r="H157" s="888">
        <v>251.073172</v>
      </c>
      <c r="I157" s="889">
        <v>65.636175100000003</v>
      </c>
      <c r="J157" s="74">
        <f t="shared" si="19"/>
        <v>64.636175100000003</v>
      </c>
      <c r="K157" s="74">
        <f t="shared" si="6"/>
        <v>32.318087550000001</v>
      </c>
      <c r="L157" s="74"/>
      <c r="M157" s="74">
        <f t="shared" si="7"/>
        <v>0.53461916118589337</v>
      </c>
      <c r="N157" s="74">
        <f t="shared" si="8"/>
        <v>134.22852861092153</v>
      </c>
      <c r="O157" s="74">
        <f t="shared" si="9"/>
        <v>268.45705722184306</v>
      </c>
      <c r="P157">
        <f>+C138+D139+D140+D141+D142+D143+D144+D145+D146+D147+D148+D149+D150+D151+D152+D153+D154+D155+D156+(D157/2)</f>
        <v>18.5</v>
      </c>
      <c r="Q157" s="74">
        <f t="shared" si="10"/>
        <v>0.31730465640509181</v>
      </c>
      <c r="R157" s="74">
        <f t="shared" si="11"/>
        <v>85.182674301298988</v>
      </c>
      <c r="S157" s="74">
        <f t="shared" si="20"/>
        <v>963.83241387681255</v>
      </c>
      <c r="T157" s="74">
        <f t="shared" si="31"/>
        <v>1049.0150881781115</v>
      </c>
      <c r="U157" s="249">
        <f t="shared" si="12"/>
        <v>1049.0150881781115</v>
      </c>
      <c r="W157" s="916">
        <f t="shared" si="13"/>
        <v>0</v>
      </c>
      <c r="X157" s="235"/>
      <c r="Y157" s="943">
        <f>SUM(W157:W163)/($B$135-B156)</f>
        <v>0</v>
      </c>
      <c r="Z157" s="898">
        <f>SUM(D139:D157)+$C$138</f>
        <v>19</v>
      </c>
      <c r="AA157" s="906">
        <f t="shared" si="21"/>
        <v>56.499008599999996</v>
      </c>
      <c r="AB157" s="289">
        <f t="shared" si="14"/>
        <v>0.83387627166948974</v>
      </c>
      <c r="AC157" s="908">
        <f t="shared" si="22"/>
        <v>242.36019115516766</v>
      </c>
      <c r="AD157" s="906">
        <f t="shared" si="23"/>
        <v>76.181912400000002</v>
      </c>
      <c r="AE157" s="911">
        <f t="shared" si="24"/>
        <v>0.97105892932813076</v>
      </c>
      <c r="AF157" s="906">
        <f t="shared" si="25"/>
        <v>243.80684558533761</v>
      </c>
      <c r="AG157" s="944">
        <f t="shared" si="32"/>
        <v>-527.4</v>
      </c>
      <c r="AH157" s="254">
        <f t="shared" si="26"/>
        <v>486.1670367405053</v>
      </c>
      <c r="AI157" s="254">
        <f t="shared" si="34"/>
        <v>-243.80684558533761</v>
      </c>
      <c r="AJ157" s="254">
        <f t="shared" si="33"/>
        <v>243.80684558533761</v>
      </c>
      <c r="AK157" s="255">
        <f t="shared" si="27"/>
        <v>-262.91532571234472</v>
      </c>
      <c r="AL157" s="255">
        <f t="shared" si="28"/>
        <v>-264.48467428765525</v>
      </c>
      <c r="AM157" s="240">
        <f t="shared" si="15"/>
        <v>-44.120668768817012</v>
      </c>
      <c r="AN157" s="241">
        <f t="shared" si="16"/>
        <v>-37.809374123220216</v>
      </c>
      <c r="AO157" s="242">
        <f t="shared" si="29"/>
        <v>44.120668768817012</v>
      </c>
      <c r="AP157" s="242">
        <f t="shared" si="30"/>
        <v>37.809374123220216</v>
      </c>
      <c r="BC157" s="197"/>
      <c r="BD157" s="197"/>
      <c r="BE157" s="197"/>
    </row>
    <row r="158" spans="1:57" ht="20" thickBot="1" x14ac:dyDescent="0.35">
      <c r="B158" s="244">
        <v>21</v>
      </c>
      <c r="C158" s="890"/>
      <c r="D158" s="16">
        <v>1</v>
      </c>
      <c r="E158" s="234" t="s">
        <v>215</v>
      </c>
      <c r="F158" s="248" t="str">
        <f t="shared" si="17"/>
        <v>use the locking pin</v>
      </c>
      <c r="G158" s="884">
        <f t="shared" si="18"/>
        <v>1</v>
      </c>
      <c r="H158" s="888">
        <v>251.073172</v>
      </c>
      <c r="I158" s="889">
        <v>65.636175100000003</v>
      </c>
      <c r="J158" s="74">
        <f t="shared" si="19"/>
        <v>64.636175100000003</v>
      </c>
      <c r="K158" s="74">
        <f t="shared" si="6"/>
        <v>32.318087550000001</v>
      </c>
      <c r="M158" s="74">
        <f t="shared" si="7"/>
        <v>0.53461916118589337</v>
      </c>
      <c r="N158" s="74">
        <f t="shared" si="8"/>
        <v>134.22852861092153</v>
      </c>
      <c r="O158" s="74">
        <f t="shared" si="9"/>
        <v>268.45705722184306</v>
      </c>
      <c r="P158" s="982">
        <f>+C138+D139+D140+D141+D142+D143+D144+D145+D146+D147+D148+D149+D150+D151+D152+D153+D154+D155+D156+D157+(D158/2)</f>
        <v>19.5</v>
      </c>
      <c r="Q158" s="74">
        <f t="shared" si="10"/>
        <v>0.33380685923377057</v>
      </c>
      <c r="R158" s="74">
        <f t="shared" si="11"/>
        <v>89.612807110364059</v>
      </c>
      <c r="S158" s="74">
        <f t="shared" si="20"/>
        <v>1049.0150881781115</v>
      </c>
      <c r="T158" s="74">
        <f t="shared" si="31"/>
        <v>1138.6278952884754</v>
      </c>
      <c r="U158" s="249">
        <f t="shared" si="12"/>
        <v>1138.6278952884754</v>
      </c>
      <c r="W158" s="916">
        <f t="shared" si="13"/>
        <v>0</v>
      </c>
      <c r="X158" s="235"/>
      <c r="Y158" s="943">
        <f>SUM(W158:W163)/($B$135-B157)</f>
        <v>0</v>
      </c>
      <c r="Z158" s="250">
        <f>SUM(D139:D158)+$C$138</f>
        <v>20</v>
      </c>
      <c r="AA158" s="906">
        <f t="shared" si="21"/>
        <v>55.499008599999996</v>
      </c>
      <c r="AB158" s="289">
        <f t="shared" si="14"/>
        <v>0.82411638786152763</v>
      </c>
      <c r="AC158" s="908">
        <f t="shared" si="22"/>
        <v>239.52355053387478</v>
      </c>
      <c r="AD158" s="906">
        <f t="shared" si="23"/>
        <v>77.181912400000002</v>
      </c>
      <c r="AE158" s="911">
        <f t="shared" si="24"/>
        <v>0.97507936547489105</v>
      </c>
      <c r="AF158" s="906">
        <f t="shared" si="25"/>
        <v>244.81626924152818</v>
      </c>
      <c r="AG158" s="944">
        <f t="shared" si="32"/>
        <v>-556.70000000000005</v>
      </c>
      <c r="AH158" s="254">
        <f t="shared" si="26"/>
        <v>484.33981977540293</v>
      </c>
      <c r="AI158" s="254">
        <f t="shared" si="34"/>
        <v>-244.81626924152818</v>
      </c>
      <c r="AJ158" s="254">
        <f t="shared" si="33"/>
        <v>244.81626924152818</v>
      </c>
      <c r="AK158" s="255">
        <f t="shared" si="27"/>
        <v>-275.30827559055854</v>
      </c>
      <c r="AL158" s="255">
        <f t="shared" si="28"/>
        <v>-281.39172440944151</v>
      </c>
      <c r="AM158" s="240">
        <f t="shared" si="15"/>
        <v>-42.134585221301691</v>
      </c>
      <c r="AN158" s="241">
        <f t="shared" si="16"/>
        <v>-35.537647814579692</v>
      </c>
      <c r="AO158" s="242">
        <f t="shared" si="29"/>
        <v>42.134585221301691</v>
      </c>
      <c r="AP158" s="242">
        <f t="shared" si="30"/>
        <v>35.537647814579692</v>
      </c>
      <c r="BC158" s="197"/>
      <c r="BD158" s="197"/>
      <c r="BE158" s="197"/>
    </row>
    <row r="159" spans="1:57" ht="20" thickBot="1" x14ac:dyDescent="0.35">
      <c r="B159" s="244">
        <v>22</v>
      </c>
      <c r="C159" s="890"/>
      <c r="D159" s="16">
        <v>1</v>
      </c>
      <c r="E159" s="234" t="s">
        <v>215</v>
      </c>
      <c r="F159" s="248" t="str">
        <f t="shared" si="17"/>
        <v>use the locking pin</v>
      </c>
      <c r="G159" s="884">
        <f t="shared" si="18"/>
        <v>1</v>
      </c>
      <c r="H159" s="888">
        <v>251.073172</v>
      </c>
      <c r="I159" s="889">
        <v>65.636175100000003</v>
      </c>
      <c r="J159" s="74">
        <f t="shared" si="19"/>
        <v>64.636175100000003</v>
      </c>
      <c r="K159" s="74">
        <f t="shared" si="6"/>
        <v>32.318087550000001</v>
      </c>
      <c r="M159" s="74">
        <f t="shared" si="7"/>
        <v>0.53461916118589337</v>
      </c>
      <c r="N159" s="74">
        <f t="shared" si="8"/>
        <v>134.22852861092153</v>
      </c>
      <c r="O159" s="74">
        <f t="shared" si="9"/>
        <v>268.45705722184306</v>
      </c>
      <c r="P159" s="982">
        <f>+C138+D139+D140+D141+D142+D143+D144+D145+D146+D147+D148+D149+D150+D151+D152+D153+D154+D155+D156+D157+D158+(D159/2)</f>
        <v>20.5</v>
      </c>
      <c r="Q159" s="74">
        <f t="shared" si="10"/>
        <v>0.35020738125946715</v>
      </c>
      <c r="R159" s="74">
        <f t="shared" si="11"/>
        <v>94.015642990284576</v>
      </c>
      <c r="S159" s="74">
        <f t="shared" si="20"/>
        <v>1138.6278952884754</v>
      </c>
      <c r="T159" s="74">
        <f t="shared" si="31"/>
        <v>1232.6435382787599</v>
      </c>
      <c r="U159" s="249">
        <f t="shared" si="12"/>
        <v>1232.6435382787599</v>
      </c>
      <c r="W159" s="916">
        <f t="shared" si="13"/>
        <v>0</v>
      </c>
      <c r="X159" s="235"/>
      <c r="Y159" s="943">
        <f>SUM(W159:W163)/($B$135-B158)</f>
        <v>0</v>
      </c>
      <c r="Z159" s="250">
        <f>SUM(D139:D159)+$C$138</f>
        <v>21</v>
      </c>
      <c r="AA159" s="906">
        <f t="shared" si="21"/>
        <v>54.499008599999996</v>
      </c>
      <c r="AB159" s="289">
        <f t="shared" si="14"/>
        <v>0.81410547021842816</v>
      </c>
      <c r="AC159" s="908">
        <f t="shared" si="22"/>
        <v>236.61394871877258</v>
      </c>
      <c r="AD159" s="906">
        <f t="shared" si="23"/>
        <v>78.181912400000002</v>
      </c>
      <c r="AE159" s="911">
        <f t="shared" si="24"/>
        <v>0.97880278300112167</v>
      </c>
      <c r="AF159" s="906">
        <f t="shared" si="25"/>
        <v>245.7511194905193</v>
      </c>
      <c r="AG159" s="944">
        <f t="shared" si="32"/>
        <v>-586</v>
      </c>
      <c r="AH159" s="254">
        <f t="shared" si="26"/>
        <v>482.36506820929185</v>
      </c>
      <c r="AI159" s="254">
        <f t="shared" si="34"/>
        <v>-245.7511194905193</v>
      </c>
      <c r="AJ159" s="254">
        <f t="shared" si="33"/>
        <v>245.7511194905193</v>
      </c>
      <c r="AK159" s="255">
        <f t="shared" si="27"/>
        <v>-287.44986543892895</v>
      </c>
      <c r="AL159" s="255">
        <f t="shared" si="28"/>
        <v>-298.55013456107105</v>
      </c>
      <c r="AM159" s="240">
        <f t="shared" si="15"/>
        <v>-40.354863211666782</v>
      </c>
      <c r="AN159" s="241">
        <f t="shared" si="16"/>
        <v>-33.49521183335596</v>
      </c>
      <c r="AO159" s="242">
        <f t="shared" si="29"/>
        <v>40.354863211666782</v>
      </c>
      <c r="AP159" s="242">
        <f t="shared" si="30"/>
        <v>33.49521183335596</v>
      </c>
      <c r="BC159" s="197"/>
      <c r="BD159" s="197"/>
      <c r="BE159" s="197"/>
    </row>
    <row r="160" spans="1:57" ht="20" thickBot="1" x14ac:dyDescent="0.35">
      <c r="B160" s="244">
        <v>23</v>
      </c>
      <c r="C160" s="890"/>
      <c r="D160" s="16">
        <v>1</v>
      </c>
      <c r="E160" s="234" t="s">
        <v>215</v>
      </c>
      <c r="F160" s="248" t="str">
        <f t="shared" si="17"/>
        <v>use the locking pin</v>
      </c>
      <c r="G160" s="884">
        <f t="shared" si="18"/>
        <v>1</v>
      </c>
      <c r="H160" s="888">
        <v>251.073172</v>
      </c>
      <c r="I160" s="889">
        <v>65.636175100000003</v>
      </c>
      <c r="J160" s="74">
        <f t="shared" si="19"/>
        <v>64.636175100000003</v>
      </c>
      <c r="K160" s="74">
        <f t="shared" si="6"/>
        <v>32.318087550000001</v>
      </c>
      <c r="M160" s="74">
        <f t="shared" si="7"/>
        <v>0.53461916118589337</v>
      </c>
      <c r="N160" s="74">
        <f t="shared" si="8"/>
        <v>134.22852861092153</v>
      </c>
      <c r="O160" s="74">
        <f t="shared" si="9"/>
        <v>268.45705722184306</v>
      </c>
      <c r="P160" s="982">
        <f>+C138+D139+D140+D141+D142+D143+D144+D145+D146+D147+D148+D149+D150+D151+D152+D153+D154+D155+D156+D157+D158+D159+(D160/2)</f>
        <v>21.5</v>
      </c>
      <c r="Q160" s="74">
        <f t="shared" si="10"/>
        <v>0.36650122672429686</v>
      </c>
      <c r="R160" s="74">
        <f t="shared" si="11"/>
        <v>98.389840794600232</v>
      </c>
      <c r="S160" s="74">
        <f t="shared" si="20"/>
        <v>1232.6435382787599</v>
      </c>
      <c r="T160" s="74">
        <f t="shared" si="31"/>
        <v>1331.0333790733603</v>
      </c>
      <c r="U160" s="249">
        <f t="shared" si="12"/>
        <v>1331.0333790733603</v>
      </c>
      <c r="W160" s="916">
        <f t="shared" si="13"/>
        <v>0</v>
      </c>
      <c r="X160" s="235"/>
      <c r="Y160" s="943">
        <f>SUM(W160:W163)/($B$135-B159)</f>
        <v>0</v>
      </c>
      <c r="Z160" s="250">
        <f>SUM(D139:D160)+$C$138</f>
        <v>22</v>
      </c>
      <c r="AA160" s="906">
        <f t="shared" si="21"/>
        <v>53.499008599999996</v>
      </c>
      <c r="AB160" s="289">
        <f t="shared" si="14"/>
        <v>0.80384656816268329</v>
      </c>
      <c r="AC160" s="908">
        <f t="shared" si="22"/>
        <v>233.63227200275978</v>
      </c>
      <c r="AD160" s="906">
        <f t="shared" si="23"/>
        <v>79.181912400000002</v>
      </c>
      <c r="AE160" s="911">
        <f t="shared" si="24"/>
        <v>0.98222804771777472</v>
      </c>
      <c r="AF160" s="906">
        <f t="shared" si="25"/>
        <v>246.61111156786907</v>
      </c>
      <c r="AG160" s="944">
        <f t="shared" si="32"/>
        <v>-615.30000000000007</v>
      </c>
      <c r="AH160" s="254">
        <f t="shared" si="26"/>
        <v>480.24338357062885</v>
      </c>
      <c r="AI160" s="254">
        <f t="shared" si="34"/>
        <v>-246.61111156786907</v>
      </c>
      <c r="AJ160" s="254">
        <f t="shared" si="33"/>
        <v>246.61111156786907</v>
      </c>
      <c r="AK160" s="255">
        <f t="shared" si="27"/>
        <v>-299.33559082996999</v>
      </c>
      <c r="AL160" s="255">
        <f t="shared" si="28"/>
        <v>-315.96440917003008</v>
      </c>
      <c r="AM160" s="240">
        <f t="shared" si="15"/>
        <v>-38.752491702829573</v>
      </c>
      <c r="AN160" s="241">
        <f t="shared" si="16"/>
        <v>-31.649134237200414</v>
      </c>
      <c r="AO160" s="242">
        <f t="shared" si="29"/>
        <v>38.752491702829573</v>
      </c>
      <c r="AP160" s="242">
        <f t="shared" si="30"/>
        <v>31.649134237200414</v>
      </c>
      <c r="BC160" s="197"/>
      <c r="BD160" s="197"/>
      <c r="BE160" s="197"/>
    </row>
    <row r="161" spans="2:57" ht="21" thickBot="1" x14ac:dyDescent="0.35">
      <c r="B161" s="244">
        <v>24</v>
      </c>
      <c r="C161" s="891"/>
      <c r="D161" s="16">
        <v>1</v>
      </c>
      <c r="E161" s="234" t="s">
        <v>215</v>
      </c>
      <c r="F161" s="248" t="str">
        <f t="shared" si="17"/>
        <v>use the locking pin</v>
      </c>
      <c r="G161" s="884">
        <f t="shared" si="18"/>
        <v>1</v>
      </c>
      <c r="H161" s="888">
        <v>251.073172</v>
      </c>
      <c r="I161" s="889">
        <v>65.636175100000003</v>
      </c>
      <c r="J161" s="74">
        <f t="shared" si="19"/>
        <v>64.636175100000003</v>
      </c>
      <c r="K161" s="74">
        <f t="shared" si="6"/>
        <v>32.318087550000001</v>
      </c>
      <c r="M161" s="74">
        <f t="shared" si="7"/>
        <v>0.53461916118589337</v>
      </c>
      <c r="N161" s="74">
        <f t="shared" si="8"/>
        <v>134.22852861092153</v>
      </c>
      <c r="O161" s="74">
        <f t="shared" si="9"/>
        <v>268.45705722184306</v>
      </c>
      <c r="P161" s="982">
        <f>+C138+D139+D140+D141+D142+D143+D144+D145+D146+D147+D148+D149+D150+D151+D152+D153+D154+D155+D156+D157+D158+D159+D160+(D161/2)</f>
        <v>22.5</v>
      </c>
      <c r="Q161" s="74">
        <f t="shared" si="10"/>
        <v>0.38268343236508939</v>
      </c>
      <c r="R161" s="74">
        <f t="shared" si="11"/>
        <v>102.73406810028611</v>
      </c>
      <c r="S161" s="74">
        <f t="shared" si="20"/>
        <v>1331.0333790733603</v>
      </c>
      <c r="T161" s="74">
        <f t="shared" si="31"/>
        <v>1433.7674471736464</v>
      </c>
      <c r="U161" s="249">
        <f t="shared" si="12"/>
        <v>1433.7674471736464</v>
      </c>
      <c r="W161" s="916">
        <f t="shared" si="13"/>
        <v>0</v>
      </c>
      <c r="X161" s="235"/>
      <c r="Y161" s="943">
        <f>SUM(W161:W163)/($B$135-B160)</f>
        <v>0</v>
      </c>
      <c r="Z161" s="250">
        <f>SUM(D139:D161)+$C$138</f>
        <v>23</v>
      </c>
      <c r="AA161" s="906">
        <f t="shared" si="21"/>
        <v>52.499008599999996</v>
      </c>
      <c r="AB161" s="289">
        <f t="shared" si="14"/>
        <v>0.79334280665523971</v>
      </c>
      <c r="AC161" s="908">
        <f t="shared" si="22"/>
        <v>230.57942863344837</v>
      </c>
      <c r="AD161" s="906">
        <f t="shared" si="23"/>
        <v>80.181912400000002</v>
      </c>
      <c r="AE161" s="911">
        <f t="shared" si="24"/>
        <v>0.98535411625603619</v>
      </c>
      <c r="AF161" s="906">
        <f t="shared" si="25"/>
        <v>247.39598351165978</v>
      </c>
      <c r="AG161" s="944">
        <f t="shared" si="32"/>
        <v>-644.6</v>
      </c>
      <c r="AH161" s="254">
        <f t="shared" si="26"/>
        <v>477.97541214510818</v>
      </c>
      <c r="AI161" s="254">
        <f t="shared" si="34"/>
        <v>-247.39598351165978</v>
      </c>
      <c r="AJ161" s="254">
        <f t="shared" si="33"/>
        <v>247.39598351165978</v>
      </c>
      <c r="AK161" s="255">
        <f t="shared" si="27"/>
        <v>-310.96055554422105</v>
      </c>
      <c r="AL161" s="255">
        <f t="shared" si="28"/>
        <v>-333.63944445577897</v>
      </c>
      <c r="AM161" s="240">
        <f t="shared" si="15"/>
        <v>-37.303766645575045</v>
      </c>
      <c r="AN161" s="241">
        <f t="shared" si="16"/>
        <v>-29.972475275852503</v>
      </c>
      <c r="AO161" s="242">
        <f t="shared" si="29"/>
        <v>37.303766645575045</v>
      </c>
      <c r="AP161" s="242">
        <f t="shared" si="30"/>
        <v>29.972475275852503</v>
      </c>
      <c r="AU161" s="119"/>
      <c r="AV161" s="119"/>
      <c r="AW161" s="259" t="s">
        <v>107</v>
      </c>
      <c r="AX161" s="119"/>
      <c r="AY161" s="119"/>
      <c r="AZ161" s="119"/>
      <c r="BA161" s="119"/>
      <c r="BB161" s="119"/>
      <c r="BC161" s="197"/>
      <c r="BD161" s="197"/>
      <c r="BE161" s="197"/>
    </row>
    <row r="162" spans="2:57" ht="21" thickBot="1" x14ac:dyDescent="0.35">
      <c r="B162" s="244">
        <v>25</v>
      </c>
      <c r="C162" s="892"/>
      <c r="D162" s="16">
        <v>1</v>
      </c>
      <c r="E162" s="234" t="s">
        <v>215</v>
      </c>
      <c r="F162" s="248" t="str">
        <f t="shared" si="17"/>
        <v>use the locking pin</v>
      </c>
      <c r="G162" s="884">
        <f t="shared" si="18"/>
        <v>1</v>
      </c>
      <c r="H162" s="888">
        <v>251.073172</v>
      </c>
      <c r="I162" s="889">
        <v>65.636175100000003</v>
      </c>
      <c r="J162" s="74">
        <f t="shared" si="19"/>
        <v>64.636175100000003</v>
      </c>
      <c r="K162" s="74">
        <f t="shared" si="6"/>
        <v>32.318087550000001</v>
      </c>
      <c r="M162" s="74">
        <f t="shared" si="7"/>
        <v>0.53461916118589337</v>
      </c>
      <c r="N162" s="74">
        <f t="shared" si="8"/>
        <v>134.22852861092153</v>
      </c>
      <c r="O162" s="74">
        <f t="shared" si="9"/>
        <v>268.45705722184306</v>
      </c>
      <c r="P162" s="982">
        <f>+C138+D139+D140+D141+D142+D143+D144+D145+D146+D147+D148+D149+D150+D151+D152+D153+D154+D155+D156+D157+D158+D159+D160+D161+(D162/2)</f>
        <v>23.5</v>
      </c>
      <c r="Q162" s="74">
        <f t="shared" si="10"/>
        <v>0.39874906892524581</v>
      </c>
      <c r="R162" s="74">
        <f t="shared" si="11"/>
        <v>107.04700161362136</v>
      </c>
      <c r="S162" s="74">
        <f t="shared" si="20"/>
        <v>1433.7674471736464</v>
      </c>
      <c r="T162" s="74">
        <f t="shared" si="31"/>
        <v>1540.8144487872678</v>
      </c>
      <c r="U162" s="249">
        <f t="shared" si="12"/>
        <v>1540.8144487872678</v>
      </c>
      <c r="W162" s="916">
        <f t="shared" si="13"/>
        <v>0</v>
      </c>
      <c r="X162" s="235"/>
      <c r="Y162" s="943">
        <f>SUM(W162:W163)/($B$135-B161)</f>
        <v>0</v>
      </c>
      <c r="Z162" s="250">
        <f>SUM(D139:D162)+$C$138</f>
        <v>24</v>
      </c>
      <c r="AA162" s="906">
        <f t="shared" si="21"/>
        <v>51.499008599999996</v>
      </c>
      <c r="AB162" s="289">
        <f t="shared" si="14"/>
        <v>0.78259738524360445</v>
      </c>
      <c r="AC162" s="908">
        <f t="shared" si="22"/>
        <v>227.45634853650211</v>
      </c>
      <c r="AD162" s="906">
        <f t="shared" si="23"/>
        <v>81.181912400000002</v>
      </c>
      <c r="AE162" s="911">
        <f t="shared" si="24"/>
        <v>0.9881800363851464</v>
      </c>
      <c r="AF162" s="906">
        <f t="shared" si="25"/>
        <v>248.10549624229412</v>
      </c>
      <c r="AG162" s="944">
        <f t="shared" si="32"/>
        <v>-673.9</v>
      </c>
      <c r="AH162" s="254">
        <f t="shared" si="26"/>
        <v>475.56184477879623</v>
      </c>
      <c r="AI162" s="254">
        <f t="shared" si="34"/>
        <v>-248.10549624229412</v>
      </c>
      <c r="AJ162" s="254">
        <f t="shared" si="33"/>
        <v>248.10549624229412</v>
      </c>
      <c r="AK162" s="255">
        <f t="shared" si="27"/>
        <v>-322.3194521630453</v>
      </c>
      <c r="AL162" s="255">
        <f t="shared" si="28"/>
        <v>-351.58054783695474</v>
      </c>
      <c r="AM162" s="240">
        <f t="shared" si="15"/>
        <v>-35.989140345560465</v>
      </c>
      <c r="AN162" s="241">
        <f t="shared" si="16"/>
        <v>-28.44298429342426</v>
      </c>
      <c r="AO162" s="242">
        <f t="shared" si="29"/>
        <v>35.989140345560465</v>
      </c>
      <c r="AP162" s="242">
        <f t="shared" si="30"/>
        <v>28.44298429342426</v>
      </c>
      <c r="AU162" s="260">
        <v>1</v>
      </c>
      <c r="AV162" s="261">
        <v>-473</v>
      </c>
      <c r="AW162" s="262">
        <f>+COS(($B$132*-1)*3.14159265358979/180)*AV162</f>
        <v>-473</v>
      </c>
      <c r="AX162" s="263">
        <f t="shared" ref="AX162:AX198" si="36">+AW162-D$3</f>
        <v>-721.3262434166835</v>
      </c>
      <c r="AY162" s="264">
        <f t="shared" ref="AY162:AY198" si="37">ABS(AX162)</f>
        <v>721.3262434166835</v>
      </c>
      <c r="AZ162" s="265">
        <f>MIN(AY162:AY198)</f>
        <v>9.6737565833164751</v>
      </c>
      <c r="BA162" s="264" t="b">
        <f>IF(AZ162=AY162,AU162)</f>
        <v>0</v>
      </c>
      <c r="BB162" s="266">
        <v>1</v>
      </c>
      <c r="BC162" s="197"/>
      <c r="BD162" s="197"/>
      <c r="BE162" s="197"/>
    </row>
    <row r="163" spans="2:57" ht="21" thickBot="1" x14ac:dyDescent="0.35">
      <c r="B163" s="244">
        <v>26</v>
      </c>
      <c r="C163" s="892"/>
      <c r="D163" s="16">
        <v>1</v>
      </c>
      <c r="E163" s="234" t="s">
        <v>215</v>
      </c>
      <c r="F163" s="248" t="str">
        <f t="shared" si="17"/>
        <v>use the locking pin</v>
      </c>
      <c r="G163" s="884">
        <f t="shared" si="18"/>
        <v>1</v>
      </c>
      <c r="H163" s="888">
        <v>251.073172</v>
      </c>
      <c r="I163" s="889">
        <v>65.636175100000003</v>
      </c>
      <c r="J163" s="74">
        <f t="shared" si="19"/>
        <v>64.636175100000003</v>
      </c>
      <c r="K163" s="74">
        <f t="shared" si="6"/>
        <v>32.318087550000001</v>
      </c>
      <c r="M163" s="74">
        <f t="shared" si="7"/>
        <v>0.53461916118589337</v>
      </c>
      <c r="N163" s="74">
        <f t="shared" si="8"/>
        <v>134.22852861092153</v>
      </c>
      <c r="O163" s="74">
        <f t="shared" si="9"/>
        <v>268.45705722184306</v>
      </c>
      <c r="P163" s="982">
        <f>+C138+D139+D140+D141+D142+D143+D144+D145+D146+D147+D148+D149+D150+D151+D152+D153+D154+D155+D156+D157+D158+D159+D160+D161+D162+(D163/2)</f>
        <v>24.5</v>
      </c>
      <c r="Q163" s="74">
        <f t="shared" si="10"/>
        <v>0.41469324265623864</v>
      </c>
      <c r="R163" s="74">
        <f t="shared" si="11"/>
        <v>111.3273275732775</v>
      </c>
      <c r="S163" s="74">
        <f t="shared" si="20"/>
        <v>1540.8144487872678</v>
      </c>
      <c r="T163" s="74">
        <f t="shared" si="31"/>
        <v>1652.1417763605452</v>
      </c>
      <c r="U163" s="249">
        <f t="shared" si="12"/>
        <v>1652.1417763605452</v>
      </c>
      <c r="W163" s="916">
        <f t="shared" si="13"/>
        <v>0</v>
      </c>
      <c r="X163" s="235"/>
      <c r="Y163" s="943">
        <f>SUM(W163)/($B$135-B162)</f>
        <v>0</v>
      </c>
      <c r="Z163" s="250">
        <f>SUM(D139:D163)+$C$138</f>
        <v>25</v>
      </c>
      <c r="AA163" s="906">
        <f t="shared" si="21"/>
        <v>50.499008599999996</v>
      </c>
      <c r="AB163" s="289">
        <f t="shared" si="14"/>
        <v>0.77161357708723288</v>
      </c>
      <c r="AC163" s="908">
        <f t="shared" si="22"/>
        <v>224.26398303237247</v>
      </c>
      <c r="AD163" s="906">
        <f t="shared" si="23"/>
        <v>82.181912400000002</v>
      </c>
      <c r="AE163" s="911">
        <f t="shared" si="24"/>
        <v>0.99070494730245873</v>
      </c>
      <c r="AF163" s="906">
        <f t="shared" si="25"/>
        <v>248.73943363532115</v>
      </c>
      <c r="AG163" s="944">
        <f t="shared" si="32"/>
        <v>-703.2</v>
      </c>
      <c r="AH163" s="254">
        <f t="shared" si="26"/>
        <v>473.00341666769361</v>
      </c>
      <c r="AI163" s="254">
        <f t="shared" si="34"/>
        <v>-248.73943363532115</v>
      </c>
      <c r="AJ163" s="254">
        <f t="shared" si="33"/>
        <v>248.73943363532115</v>
      </c>
      <c r="AK163" s="255">
        <f t="shared" si="27"/>
        <v>-333.40654065329392</v>
      </c>
      <c r="AL163" s="255">
        <f t="shared" si="28"/>
        <v>-369.79345934670607</v>
      </c>
      <c r="AM163" s="240">
        <f t="shared" si="15"/>
        <v>-34.792358833963974</v>
      </c>
      <c r="AN163" s="241">
        <f t="shared" si="16"/>
        <v>-27.042122426033316</v>
      </c>
      <c r="AO163" s="242">
        <f t="shared" si="29"/>
        <v>34.792358833963974</v>
      </c>
      <c r="AP163" s="242">
        <f t="shared" si="30"/>
        <v>27.042122426033316</v>
      </c>
      <c r="AU163" s="260">
        <v>2</v>
      </c>
      <c r="AV163" s="261">
        <f>+AV162+43</f>
        <v>-430</v>
      </c>
      <c r="AW163" s="31">
        <f>+AW162+$E$2</f>
        <v>-430</v>
      </c>
      <c r="AX163" s="263">
        <f t="shared" si="36"/>
        <v>-678.3262434166835</v>
      </c>
      <c r="AY163" s="264">
        <f t="shared" si="37"/>
        <v>678.3262434166835</v>
      </c>
      <c r="AZ163" s="264">
        <f>+AZ162</f>
        <v>9.6737565833164751</v>
      </c>
      <c r="BA163" s="264" t="b">
        <f t="shared" ref="BA163:BA198" si="38">IF(AZ163=AY163,AU163)</f>
        <v>0</v>
      </c>
      <c r="BB163" s="266">
        <v>2</v>
      </c>
      <c r="BC163" s="197"/>
      <c r="BD163" s="197"/>
      <c r="BE163" s="197"/>
    </row>
    <row r="164" spans="2:57" ht="20" x14ac:dyDescent="0.3">
      <c r="AU164" s="260">
        <v>3</v>
      </c>
      <c r="AV164" s="261">
        <f t="shared" ref="AV164:AV198" si="39">+AV163+43</f>
        <v>-387</v>
      </c>
      <c r="AW164" s="31">
        <f t="shared" ref="AW164:AW198" si="40">+AW163+$E$2</f>
        <v>-387</v>
      </c>
      <c r="AX164" s="263">
        <f t="shared" si="36"/>
        <v>-635.3262434166835</v>
      </c>
      <c r="AY164" s="264">
        <f t="shared" si="37"/>
        <v>635.3262434166835</v>
      </c>
      <c r="AZ164" s="264">
        <f t="shared" ref="AZ164:AZ198" si="41">+AZ163</f>
        <v>9.6737565833164751</v>
      </c>
      <c r="BA164" s="264" t="b">
        <f t="shared" si="38"/>
        <v>0</v>
      </c>
      <c r="BB164" s="266">
        <v>3</v>
      </c>
      <c r="BC164" s="197"/>
      <c r="BD164" s="197"/>
      <c r="BE164" s="197"/>
    </row>
    <row r="165" spans="2:57" ht="20" x14ac:dyDescent="0.3">
      <c r="AU165" s="260">
        <v>4</v>
      </c>
      <c r="AV165" s="261">
        <f t="shared" si="39"/>
        <v>-344</v>
      </c>
      <c r="AW165" s="31">
        <f t="shared" si="40"/>
        <v>-344</v>
      </c>
      <c r="AX165" s="263">
        <f t="shared" si="36"/>
        <v>-592.3262434166835</v>
      </c>
      <c r="AY165" s="264">
        <f t="shared" si="37"/>
        <v>592.3262434166835</v>
      </c>
      <c r="AZ165" s="264">
        <f t="shared" si="41"/>
        <v>9.6737565833164751</v>
      </c>
      <c r="BA165" s="264" t="b">
        <f t="shared" si="38"/>
        <v>0</v>
      </c>
      <c r="BB165" s="266">
        <v>4</v>
      </c>
      <c r="BC165" s="197"/>
      <c r="BD165" s="197"/>
      <c r="BE165" s="197"/>
    </row>
    <row r="166" spans="2:57" ht="20" x14ac:dyDescent="0.3">
      <c r="D166" s="24"/>
      <c r="AU166" s="260">
        <v>5</v>
      </c>
      <c r="AV166" s="261">
        <f t="shared" si="39"/>
        <v>-301</v>
      </c>
      <c r="AW166" s="31">
        <f t="shared" si="40"/>
        <v>-301</v>
      </c>
      <c r="AX166" s="263">
        <f t="shared" si="36"/>
        <v>-549.3262434166835</v>
      </c>
      <c r="AY166" s="264">
        <f t="shared" si="37"/>
        <v>549.3262434166835</v>
      </c>
      <c r="AZ166" s="264">
        <f t="shared" si="41"/>
        <v>9.6737565833164751</v>
      </c>
      <c r="BA166" s="264" t="b">
        <f t="shared" si="38"/>
        <v>0</v>
      </c>
      <c r="BB166" s="266">
        <v>5</v>
      </c>
    </row>
    <row r="167" spans="2:57" ht="20" x14ac:dyDescent="0.3">
      <c r="D167" s="24"/>
      <c r="AU167" s="260">
        <v>6</v>
      </c>
      <c r="AV167" s="261">
        <f t="shared" si="39"/>
        <v>-258</v>
      </c>
      <c r="AW167" s="31">
        <f t="shared" si="40"/>
        <v>-258</v>
      </c>
      <c r="AX167" s="263">
        <f t="shared" si="36"/>
        <v>-506.3262434166835</v>
      </c>
      <c r="AY167" s="264">
        <f t="shared" si="37"/>
        <v>506.3262434166835</v>
      </c>
      <c r="AZ167" s="264">
        <f t="shared" si="41"/>
        <v>9.6737565833164751</v>
      </c>
      <c r="BA167" s="264" t="b">
        <f t="shared" si="38"/>
        <v>0</v>
      </c>
      <c r="BB167" s="266">
        <v>6</v>
      </c>
    </row>
    <row r="168" spans="2:57" ht="20" x14ac:dyDescent="0.3">
      <c r="D168" s="24"/>
      <c r="AU168" s="260">
        <v>7</v>
      </c>
      <c r="AV168" s="261">
        <f t="shared" si="39"/>
        <v>-215</v>
      </c>
      <c r="AW168" s="31">
        <f t="shared" si="40"/>
        <v>-215</v>
      </c>
      <c r="AX168" s="263">
        <f t="shared" si="36"/>
        <v>-463.3262434166835</v>
      </c>
      <c r="AY168" s="264">
        <f t="shared" si="37"/>
        <v>463.3262434166835</v>
      </c>
      <c r="AZ168" s="264">
        <f t="shared" si="41"/>
        <v>9.6737565833164751</v>
      </c>
      <c r="BA168" s="264" t="b">
        <f t="shared" si="38"/>
        <v>0</v>
      </c>
      <c r="BB168" s="266">
        <v>7</v>
      </c>
    </row>
    <row r="169" spans="2:57" ht="20" x14ac:dyDescent="0.3">
      <c r="AU169" s="260">
        <v>8</v>
      </c>
      <c r="AV169" s="261">
        <f t="shared" si="39"/>
        <v>-172</v>
      </c>
      <c r="AW169" s="31">
        <f t="shared" si="40"/>
        <v>-172</v>
      </c>
      <c r="AX169" s="263">
        <f t="shared" si="36"/>
        <v>-420.3262434166835</v>
      </c>
      <c r="AY169" s="264">
        <f t="shared" si="37"/>
        <v>420.3262434166835</v>
      </c>
      <c r="AZ169" s="264">
        <f t="shared" si="41"/>
        <v>9.6737565833164751</v>
      </c>
      <c r="BA169" s="264" t="b">
        <f t="shared" si="38"/>
        <v>0</v>
      </c>
      <c r="BB169" s="266">
        <v>8</v>
      </c>
    </row>
    <row r="170" spans="2:57" ht="20" x14ac:dyDescent="0.3">
      <c r="AU170" s="260">
        <v>9</v>
      </c>
      <c r="AV170" s="261">
        <f t="shared" si="39"/>
        <v>-129</v>
      </c>
      <c r="AW170" s="31">
        <f t="shared" si="40"/>
        <v>-129</v>
      </c>
      <c r="AX170" s="263">
        <f t="shared" si="36"/>
        <v>-377.3262434166835</v>
      </c>
      <c r="AY170" s="264">
        <f t="shared" si="37"/>
        <v>377.3262434166835</v>
      </c>
      <c r="AZ170" s="264">
        <f t="shared" si="41"/>
        <v>9.6737565833164751</v>
      </c>
      <c r="BA170" s="264" t="b">
        <f t="shared" si="38"/>
        <v>0</v>
      </c>
      <c r="BB170" s="266">
        <v>9</v>
      </c>
    </row>
    <row r="171" spans="2:57" ht="20" x14ac:dyDescent="0.3">
      <c r="AU171" s="260">
        <v>10</v>
      </c>
      <c r="AV171" s="261">
        <f t="shared" si="39"/>
        <v>-86</v>
      </c>
      <c r="AW171" s="31">
        <f t="shared" si="40"/>
        <v>-86</v>
      </c>
      <c r="AX171" s="263">
        <f t="shared" si="36"/>
        <v>-334.3262434166835</v>
      </c>
      <c r="AY171" s="264">
        <f t="shared" si="37"/>
        <v>334.3262434166835</v>
      </c>
      <c r="AZ171" s="264">
        <f t="shared" si="41"/>
        <v>9.6737565833164751</v>
      </c>
      <c r="BA171" s="264" t="b">
        <f t="shared" si="38"/>
        <v>0</v>
      </c>
      <c r="BB171" s="266">
        <v>10</v>
      </c>
    </row>
    <row r="172" spans="2:57" ht="20" x14ac:dyDescent="0.3">
      <c r="AU172" s="260">
        <v>11</v>
      </c>
      <c r="AV172" s="261">
        <f t="shared" si="39"/>
        <v>-43</v>
      </c>
      <c r="AW172" s="31">
        <f t="shared" si="40"/>
        <v>-43</v>
      </c>
      <c r="AX172" s="263">
        <f t="shared" si="36"/>
        <v>-291.3262434166835</v>
      </c>
      <c r="AY172" s="264">
        <f t="shared" si="37"/>
        <v>291.3262434166835</v>
      </c>
      <c r="AZ172" s="264">
        <f t="shared" si="41"/>
        <v>9.6737565833164751</v>
      </c>
      <c r="BA172" s="264" t="b">
        <f t="shared" si="38"/>
        <v>0</v>
      </c>
      <c r="BB172" s="266">
        <v>11</v>
      </c>
    </row>
    <row r="173" spans="2:57" ht="20" x14ac:dyDescent="0.3">
      <c r="AU173" s="260">
        <v>12</v>
      </c>
      <c r="AV173" s="261">
        <f t="shared" si="39"/>
        <v>0</v>
      </c>
      <c r="AW173" s="31">
        <f t="shared" si="40"/>
        <v>0</v>
      </c>
      <c r="AX173" s="263">
        <f t="shared" si="36"/>
        <v>-248.32624341668352</v>
      </c>
      <c r="AY173" s="264">
        <f t="shared" si="37"/>
        <v>248.32624341668352</v>
      </c>
      <c r="AZ173" s="264">
        <f t="shared" si="41"/>
        <v>9.6737565833164751</v>
      </c>
      <c r="BA173" s="264" t="b">
        <f t="shared" si="38"/>
        <v>0</v>
      </c>
      <c r="BB173" s="266">
        <v>12</v>
      </c>
    </row>
    <row r="174" spans="2:57" ht="20" x14ac:dyDescent="0.3">
      <c r="AU174" s="260">
        <v>13</v>
      </c>
      <c r="AV174" s="261">
        <f t="shared" si="39"/>
        <v>43</v>
      </c>
      <c r="AW174" s="31">
        <f t="shared" si="40"/>
        <v>43</v>
      </c>
      <c r="AX174" s="263">
        <f t="shared" si="36"/>
        <v>-205.32624341668352</v>
      </c>
      <c r="AY174" s="264">
        <f t="shared" si="37"/>
        <v>205.32624341668352</v>
      </c>
      <c r="AZ174" s="264">
        <f t="shared" si="41"/>
        <v>9.6737565833164751</v>
      </c>
      <c r="BA174" s="264" t="b">
        <f t="shared" si="38"/>
        <v>0</v>
      </c>
      <c r="BB174" s="266">
        <v>13</v>
      </c>
    </row>
    <row r="175" spans="2:57" ht="20" x14ac:dyDescent="0.3">
      <c r="AU175" s="260">
        <v>14</v>
      </c>
      <c r="AV175" s="261">
        <f t="shared" si="39"/>
        <v>86</v>
      </c>
      <c r="AW175" s="31">
        <f t="shared" si="40"/>
        <v>86</v>
      </c>
      <c r="AX175" s="263">
        <f t="shared" si="36"/>
        <v>-162.32624341668352</v>
      </c>
      <c r="AY175" s="264">
        <f t="shared" si="37"/>
        <v>162.32624341668352</v>
      </c>
      <c r="AZ175" s="264">
        <f t="shared" si="41"/>
        <v>9.6737565833164751</v>
      </c>
      <c r="BA175" s="264" t="b">
        <f t="shared" si="38"/>
        <v>0</v>
      </c>
      <c r="BB175" s="266">
        <v>14</v>
      </c>
    </row>
    <row r="176" spans="2:57" ht="20" x14ac:dyDescent="0.3">
      <c r="AU176" s="260">
        <v>15</v>
      </c>
      <c r="AV176" s="261">
        <f t="shared" si="39"/>
        <v>129</v>
      </c>
      <c r="AW176" s="31">
        <f t="shared" si="40"/>
        <v>129</v>
      </c>
      <c r="AX176" s="263">
        <f t="shared" si="36"/>
        <v>-119.32624341668352</v>
      </c>
      <c r="AY176" s="264">
        <f t="shared" si="37"/>
        <v>119.32624341668352</v>
      </c>
      <c r="AZ176" s="264">
        <f t="shared" si="41"/>
        <v>9.6737565833164751</v>
      </c>
      <c r="BA176" s="264" t="b">
        <f t="shared" si="38"/>
        <v>0</v>
      </c>
      <c r="BB176" s="266">
        <v>15</v>
      </c>
    </row>
    <row r="177" spans="47:77" ht="20" x14ac:dyDescent="0.3">
      <c r="AU177" s="260">
        <v>16</v>
      </c>
      <c r="AV177" s="261">
        <f t="shared" si="39"/>
        <v>172</v>
      </c>
      <c r="AW177" s="31">
        <f t="shared" si="40"/>
        <v>172</v>
      </c>
      <c r="AX177" s="263">
        <f t="shared" si="36"/>
        <v>-76.326243416683525</v>
      </c>
      <c r="AY177" s="264">
        <f t="shared" si="37"/>
        <v>76.326243416683525</v>
      </c>
      <c r="AZ177" s="264">
        <f t="shared" si="41"/>
        <v>9.6737565833164751</v>
      </c>
      <c r="BA177" s="264" t="b">
        <f t="shared" si="38"/>
        <v>0</v>
      </c>
      <c r="BB177" s="266">
        <v>16</v>
      </c>
    </row>
    <row r="178" spans="47:77" ht="20" x14ac:dyDescent="0.3">
      <c r="AU178" s="260">
        <v>17</v>
      </c>
      <c r="AV178" s="261">
        <f t="shared" si="39"/>
        <v>215</v>
      </c>
      <c r="AW178" s="31">
        <f t="shared" si="40"/>
        <v>215</v>
      </c>
      <c r="AX178" s="263">
        <f t="shared" si="36"/>
        <v>-33.326243416683525</v>
      </c>
      <c r="AY178" s="264">
        <f t="shared" si="37"/>
        <v>33.326243416683525</v>
      </c>
      <c r="AZ178" s="264">
        <f t="shared" si="41"/>
        <v>9.6737565833164751</v>
      </c>
      <c r="BA178" s="264" t="b">
        <f t="shared" si="38"/>
        <v>0</v>
      </c>
      <c r="BB178" s="266">
        <v>17</v>
      </c>
      <c r="BF178" s="267"/>
      <c r="BG178" s="267"/>
      <c r="BH178" s="267"/>
      <c r="BI178" s="267"/>
      <c r="BJ178" s="267"/>
      <c r="BK178" s="267"/>
      <c r="BL178" s="1109"/>
      <c r="BM178" s="1109"/>
      <c r="BN178" s="1109"/>
      <c r="BO178" s="109"/>
    </row>
    <row r="179" spans="47:77" ht="20" x14ac:dyDescent="0.3">
      <c r="AU179" s="260">
        <v>18</v>
      </c>
      <c r="AV179" s="261">
        <f t="shared" si="39"/>
        <v>258</v>
      </c>
      <c r="AW179" s="31">
        <f t="shared" si="40"/>
        <v>258</v>
      </c>
      <c r="AX179" s="263">
        <f t="shared" si="36"/>
        <v>9.6737565833164751</v>
      </c>
      <c r="AY179" s="264">
        <f t="shared" si="37"/>
        <v>9.6737565833164751</v>
      </c>
      <c r="AZ179" s="264">
        <f t="shared" si="41"/>
        <v>9.6737565833164751</v>
      </c>
      <c r="BA179" s="264">
        <f t="shared" si="38"/>
        <v>18</v>
      </c>
      <c r="BB179" s="266">
        <v>18</v>
      </c>
      <c r="BL179" s="268"/>
      <c r="BY179" s="268"/>
    </row>
    <row r="180" spans="47:77" ht="20" x14ac:dyDescent="0.3">
      <c r="AU180" s="260">
        <v>19</v>
      </c>
      <c r="AV180" s="261">
        <f t="shared" si="39"/>
        <v>301</v>
      </c>
      <c r="AW180" s="31">
        <f t="shared" si="40"/>
        <v>301</v>
      </c>
      <c r="AX180" s="263">
        <f t="shared" si="36"/>
        <v>52.673756583316475</v>
      </c>
      <c r="AY180" s="264">
        <f t="shared" si="37"/>
        <v>52.673756583316475</v>
      </c>
      <c r="AZ180" s="264">
        <f t="shared" si="41"/>
        <v>9.6737565833164751</v>
      </c>
      <c r="BA180" s="264" t="b">
        <f t="shared" si="38"/>
        <v>0</v>
      </c>
      <c r="BB180" s="266">
        <v>19</v>
      </c>
      <c r="BF180" s="269"/>
      <c r="BG180" s="269"/>
      <c r="BH180" s="269"/>
      <c r="BI180" s="269"/>
      <c r="BJ180" s="269"/>
      <c r="BK180" s="269"/>
      <c r="BL180" s="1110"/>
      <c r="BM180" s="1110"/>
      <c r="BX180" s="1104"/>
      <c r="BY180" s="1104"/>
    </row>
    <row r="181" spans="47:77" ht="20" x14ac:dyDescent="0.3">
      <c r="AU181" s="260">
        <v>20</v>
      </c>
      <c r="AV181" s="261">
        <f t="shared" si="39"/>
        <v>344</v>
      </c>
      <c r="AW181" s="31">
        <f t="shared" si="40"/>
        <v>344</v>
      </c>
      <c r="AX181" s="263">
        <f t="shared" si="36"/>
        <v>95.673756583316475</v>
      </c>
      <c r="AY181" s="264">
        <f t="shared" si="37"/>
        <v>95.673756583316475</v>
      </c>
      <c r="AZ181" s="264">
        <f t="shared" si="41"/>
        <v>9.6737565833164751</v>
      </c>
      <c r="BA181" s="264" t="b">
        <f t="shared" si="38"/>
        <v>0</v>
      </c>
      <c r="BB181" s="266">
        <v>20</v>
      </c>
    </row>
    <row r="182" spans="47:77" ht="20" x14ac:dyDescent="0.3">
      <c r="AU182" s="260">
        <v>21</v>
      </c>
      <c r="AV182" s="261">
        <f t="shared" si="39"/>
        <v>387</v>
      </c>
      <c r="AW182" s="31">
        <f t="shared" si="40"/>
        <v>387</v>
      </c>
      <c r="AX182" s="263">
        <f t="shared" si="36"/>
        <v>138.67375658331648</v>
      </c>
      <c r="AY182" s="264">
        <f t="shared" si="37"/>
        <v>138.67375658331648</v>
      </c>
      <c r="AZ182" s="264">
        <f t="shared" si="41"/>
        <v>9.6737565833164751</v>
      </c>
      <c r="BA182" s="264" t="b">
        <f t="shared" si="38"/>
        <v>0</v>
      </c>
      <c r="BB182" s="266">
        <v>21</v>
      </c>
    </row>
    <row r="183" spans="47:77" ht="20" x14ac:dyDescent="0.3">
      <c r="AU183" s="260">
        <v>22</v>
      </c>
      <c r="AV183" s="261">
        <f t="shared" si="39"/>
        <v>430</v>
      </c>
      <c r="AW183" s="31">
        <f t="shared" si="40"/>
        <v>430</v>
      </c>
      <c r="AX183" s="263">
        <f t="shared" si="36"/>
        <v>181.67375658331648</v>
      </c>
      <c r="AY183" s="264">
        <f t="shared" si="37"/>
        <v>181.67375658331648</v>
      </c>
      <c r="AZ183" s="264">
        <f t="shared" si="41"/>
        <v>9.6737565833164751</v>
      </c>
      <c r="BA183" s="264" t="b">
        <f t="shared" si="38"/>
        <v>0</v>
      </c>
      <c r="BB183" s="266">
        <v>22</v>
      </c>
    </row>
    <row r="184" spans="47:77" ht="20" x14ac:dyDescent="0.3">
      <c r="AU184" s="260">
        <v>23</v>
      </c>
      <c r="AV184" s="261">
        <f t="shared" si="39"/>
        <v>473</v>
      </c>
      <c r="AW184" s="31">
        <f t="shared" si="40"/>
        <v>473</v>
      </c>
      <c r="AX184" s="263">
        <f t="shared" si="36"/>
        <v>224.67375658331648</v>
      </c>
      <c r="AY184" s="264">
        <f t="shared" si="37"/>
        <v>224.67375658331648</v>
      </c>
      <c r="AZ184" s="264">
        <f t="shared" si="41"/>
        <v>9.6737565833164751</v>
      </c>
      <c r="BA184" s="264" t="b">
        <f t="shared" si="38"/>
        <v>0</v>
      </c>
      <c r="BB184" s="266">
        <v>23</v>
      </c>
    </row>
    <row r="185" spans="47:77" ht="20" x14ac:dyDescent="0.3">
      <c r="AU185" s="260">
        <v>24</v>
      </c>
      <c r="AV185" s="261">
        <f t="shared" si="39"/>
        <v>516</v>
      </c>
      <c r="AW185" s="31">
        <f t="shared" si="40"/>
        <v>516</v>
      </c>
      <c r="AX185" s="263">
        <f t="shared" si="36"/>
        <v>267.6737565833165</v>
      </c>
      <c r="AY185" s="264">
        <f t="shared" si="37"/>
        <v>267.6737565833165</v>
      </c>
      <c r="AZ185" s="264">
        <f t="shared" si="41"/>
        <v>9.6737565833164751</v>
      </c>
      <c r="BA185" s="264" t="b">
        <f t="shared" si="38"/>
        <v>0</v>
      </c>
      <c r="BB185" s="266">
        <v>24</v>
      </c>
    </row>
    <row r="186" spans="47:77" ht="20" x14ac:dyDescent="0.3">
      <c r="AU186" s="260">
        <v>25</v>
      </c>
      <c r="AV186" s="261">
        <f t="shared" si="39"/>
        <v>559</v>
      </c>
      <c r="AW186" s="31">
        <f t="shared" si="40"/>
        <v>559</v>
      </c>
      <c r="AX186" s="263">
        <f t="shared" si="36"/>
        <v>310.6737565833165</v>
      </c>
      <c r="AY186" s="264">
        <f t="shared" si="37"/>
        <v>310.6737565833165</v>
      </c>
      <c r="AZ186" s="264">
        <f t="shared" si="41"/>
        <v>9.6737565833164751</v>
      </c>
      <c r="BA186" s="264" t="b">
        <f t="shared" si="38"/>
        <v>0</v>
      </c>
      <c r="BB186" s="266">
        <v>25</v>
      </c>
    </row>
    <row r="187" spans="47:77" ht="20" x14ac:dyDescent="0.3">
      <c r="AU187" s="260">
        <v>26</v>
      </c>
      <c r="AV187" s="261">
        <f t="shared" si="39"/>
        <v>602</v>
      </c>
      <c r="AW187" s="31">
        <f t="shared" si="40"/>
        <v>602</v>
      </c>
      <c r="AX187" s="263">
        <f t="shared" si="36"/>
        <v>353.6737565833165</v>
      </c>
      <c r="AY187" s="264">
        <f t="shared" si="37"/>
        <v>353.6737565833165</v>
      </c>
      <c r="AZ187" s="264">
        <f t="shared" si="41"/>
        <v>9.6737565833164751</v>
      </c>
      <c r="BA187" s="264" t="b">
        <f t="shared" si="38"/>
        <v>0</v>
      </c>
      <c r="BB187" s="266">
        <v>26</v>
      </c>
    </row>
    <row r="188" spans="47:77" ht="20" x14ac:dyDescent="0.3">
      <c r="AU188" s="260">
        <v>27</v>
      </c>
      <c r="AV188" s="261">
        <f t="shared" si="39"/>
        <v>645</v>
      </c>
      <c r="AW188" s="31">
        <f t="shared" si="40"/>
        <v>645</v>
      </c>
      <c r="AX188" s="263">
        <f t="shared" si="36"/>
        <v>396.6737565833165</v>
      </c>
      <c r="AY188" s="264">
        <f t="shared" si="37"/>
        <v>396.6737565833165</v>
      </c>
      <c r="AZ188" s="264">
        <f t="shared" si="41"/>
        <v>9.6737565833164751</v>
      </c>
      <c r="BA188" s="264" t="b">
        <f t="shared" si="38"/>
        <v>0</v>
      </c>
      <c r="BB188" s="266">
        <v>27</v>
      </c>
    </row>
    <row r="189" spans="47:77" ht="20" x14ac:dyDescent="0.3">
      <c r="AU189" s="260">
        <v>28</v>
      </c>
      <c r="AV189" s="261">
        <f t="shared" si="39"/>
        <v>688</v>
      </c>
      <c r="AW189" s="31">
        <f t="shared" si="40"/>
        <v>688</v>
      </c>
      <c r="AX189" s="263">
        <f t="shared" si="36"/>
        <v>439.6737565833165</v>
      </c>
      <c r="AY189" s="264">
        <f t="shared" si="37"/>
        <v>439.6737565833165</v>
      </c>
      <c r="AZ189" s="264">
        <f t="shared" si="41"/>
        <v>9.6737565833164751</v>
      </c>
      <c r="BA189" s="264" t="b">
        <f t="shared" si="38"/>
        <v>0</v>
      </c>
      <c r="BB189" s="266">
        <v>28</v>
      </c>
    </row>
    <row r="190" spans="47:77" ht="20" x14ac:dyDescent="0.3">
      <c r="AU190" s="260">
        <v>29</v>
      </c>
      <c r="AV190" s="261">
        <f t="shared" si="39"/>
        <v>731</v>
      </c>
      <c r="AW190" s="31">
        <f t="shared" si="40"/>
        <v>731</v>
      </c>
      <c r="AX190" s="263">
        <f t="shared" si="36"/>
        <v>482.6737565833165</v>
      </c>
      <c r="AY190" s="264">
        <f t="shared" si="37"/>
        <v>482.6737565833165</v>
      </c>
      <c r="AZ190" s="264">
        <f t="shared" si="41"/>
        <v>9.6737565833164751</v>
      </c>
      <c r="BA190" s="264" t="b">
        <f t="shared" si="38"/>
        <v>0</v>
      </c>
      <c r="BB190" s="266">
        <v>29</v>
      </c>
    </row>
    <row r="191" spans="47:77" ht="20" x14ac:dyDescent="0.3">
      <c r="AU191" s="260">
        <v>30</v>
      </c>
      <c r="AV191" s="261">
        <f t="shared" si="39"/>
        <v>774</v>
      </c>
      <c r="AW191" s="31">
        <f t="shared" si="40"/>
        <v>774</v>
      </c>
      <c r="AX191" s="263">
        <f t="shared" si="36"/>
        <v>525.6737565833165</v>
      </c>
      <c r="AY191" s="264">
        <f t="shared" si="37"/>
        <v>525.6737565833165</v>
      </c>
      <c r="AZ191" s="264">
        <f t="shared" si="41"/>
        <v>9.6737565833164751</v>
      </c>
      <c r="BA191" s="264" t="b">
        <f t="shared" si="38"/>
        <v>0</v>
      </c>
      <c r="BB191" s="266">
        <v>30</v>
      </c>
    </row>
    <row r="192" spans="47:77" ht="20" x14ac:dyDescent="0.3">
      <c r="AU192" s="260">
        <v>31</v>
      </c>
      <c r="AV192" s="261">
        <f t="shared" si="39"/>
        <v>817</v>
      </c>
      <c r="AW192" s="31">
        <f t="shared" si="40"/>
        <v>817</v>
      </c>
      <c r="AX192" s="263">
        <f t="shared" si="36"/>
        <v>568.6737565833165</v>
      </c>
      <c r="AY192" s="264">
        <f t="shared" si="37"/>
        <v>568.6737565833165</v>
      </c>
      <c r="AZ192" s="264">
        <f t="shared" si="41"/>
        <v>9.6737565833164751</v>
      </c>
      <c r="BA192" s="264" t="b">
        <f t="shared" si="38"/>
        <v>0</v>
      </c>
      <c r="BB192" s="266">
        <v>31</v>
      </c>
    </row>
    <row r="193" spans="47:82" ht="20" x14ac:dyDescent="0.3">
      <c r="AU193" s="260">
        <v>32</v>
      </c>
      <c r="AV193" s="261">
        <f t="shared" si="39"/>
        <v>860</v>
      </c>
      <c r="AW193" s="31">
        <f t="shared" si="40"/>
        <v>860</v>
      </c>
      <c r="AX193" s="263">
        <f t="shared" si="36"/>
        <v>611.6737565833165</v>
      </c>
      <c r="AY193" s="264">
        <f t="shared" si="37"/>
        <v>611.6737565833165</v>
      </c>
      <c r="AZ193" s="264">
        <f t="shared" si="41"/>
        <v>9.6737565833164751</v>
      </c>
      <c r="BA193" s="264" t="b">
        <f t="shared" si="38"/>
        <v>0</v>
      </c>
      <c r="BB193" s="266">
        <v>32</v>
      </c>
    </row>
    <row r="194" spans="47:82" ht="20" x14ac:dyDescent="0.3">
      <c r="AU194" s="260">
        <v>33</v>
      </c>
      <c r="AV194" s="261">
        <f t="shared" si="39"/>
        <v>903</v>
      </c>
      <c r="AW194" s="31">
        <f t="shared" si="40"/>
        <v>903</v>
      </c>
      <c r="AX194" s="263">
        <f t="shared" si="36"/>
        <v>654.6737565833165</v>
      </c>
      <c r="AY194" s="264">
        <f t="shared" si="37"/>
        <v>654.6737565833165</v>
      </c>
      <c r="AZ194" s="264">
        <f t="shared" si="41"/>
        <v>9.6737565833164751</v>
      </c>
      <c r="BA194" s="264" t="b">
        <f t="shared" si="38"/>
        <v>0</v>
      </c>
      <c r="BB194" s="266">
        <v>33</v>
      </c>
    </row>
    <row r="195" spans="47:82" ht="20" x14ac:dyDescent="0.3">
      <c r="AU195" s="260">
        <v>34</v>
      </c>
      <c r="AV195" s="261">
        <f t="shared" si="39"/>
        <v>946</v>
      </c>
      <c r="AW195" s="31">
        <f t="shared" si="40"/>
        <v>946</v>
      </c>
      <c r="AX195" s="263">
        <f t="shared" si="36"/>
        <v>697.6737565833165</v>
      </c>
      <c r="AY195" s="264">
        <f t="shared" si="37"/>
        <v>697.6737565833165</v>
      </c>
      <c r="AZ195" s="264">
        <f t="shared" si="41"/>
        <v>9.6737565833164751</v>
      </c>
      <c r="BA195" s="264" t="b">
        <f t="shared" si="38"/>
        <v>0</v>
      </c>
      <c r="BB195" s="266">
        <v>34</v>
      </c>
    </row>
    <row r="196" spans="47:82" ht="20" x14ac:dyDescent="0.3">
      <c r="AU196" s="260">
        <v>35</v>
      </c>
      <c r="AV196" s="261">
        <f t="shared" si="39"/>
        <v>989</v>
      </c>
      <c r="AW196" s="31">
        <f t="shared" si="40"/>
        <v>989</v>
      </c>
      <c r="AX196" s="263">
        <f t="shared" si="36"/>
        <v>740.6737565833165</v>
      </c>
      <c r="AY196" s="264">
        <f t="shared" si="37"/>
        <v>740.6737565833165</v>
      </c>
      <c r="AZ196" s="264">
        <f t="shared" si="41"/>
        <v>9.6737565833164751</v>
      </c>
      <c r="BA196" s="264" t="b">
        <f t="shared" si="38"/>
        <v>0</v>
      </c>
      <c r="BB196" s="266">
        <v>35</v>
      </c>
    </row>
    <row r="197" spans="47:82" ht="20" x14ac:dyDescent="0.3">
      <c r="AU197" s="260">
        <v>36</v>
      </c>
      <c r="AV197" s="261">
        <f t="shared" si="39"/>
        <v>1032</v>
      </c>
      <c r="AW197" s="31">
        <f t="shared" si="40"/>
        <v>1032</v>
      </c>
      <c r="AX197" s="263">
        <f t="shared" si="36"/>
        <v>783.6737565833165</v>
      </c>
      <c r="AY197" s="264">
        <f t="shared" si="37"/>
        <v>783.6737565833165</v>
      </c>
      <c r="AZ197" s="264">
        <f t="shared" si="41"/>
        <v>9.6737565833164751</v>
      </c>
      <c r="BA197" s="264" t="b">
        <f t="shared" si="38"/>
        <v>0</v>
      </c>
      <c r="BB197" s="266">
        <v>36</v>
      </c>
      <c r="BF197" s="109"/>
      <c r="BH197" s="109"/>
      <c r="BJ197" s="109"/>
    </row>
    <row r="198" spans="47:82" ht="20" x14ac:dyDescent="0.3">
      <c r="AU198" s="270">
        <v>37</v>
      </c>
      <c r="AV198" s="271">
        <f t="shared" si="39"/>
        <v>1075</v>
      </c>
      <c r="AW198" s="31">
        <f t="shared" si="40"/>
        <v>1075</v>
      </c>
      <c r="AX198" s="263">
        <f t="shared" si="36"/>
        <v>826.6737565833165</v>
      </c>
      <c r="AY198" s="264">
        <f t="shared" si="37"/>
        <v>826.6737565833165</v>
      </c>
      <c r="AZ198" s="264">
        <f t="shared" si="41"/>
        <v>9.6737565833164751</v>
      </c>
      <c r="BA198" s="264" t="b">
        <f t="shared" si="38"/>
        <v>0</v>
      </c>
      <c r="BB198" s="272">
        <v>37</v>
      </c>
      <c r="BF198" s="109"/>
      <c r="BJ198" s="109"/>
    </row>
    <row r="199" spans="47:82" x14ac:dyDescent="0.2">
      <c r="BF199" s="109"/>
      <c r="BG199" s="273"/>
      <c r="BH199" s="273"/>
      <c r="BI199" s="273"/>
      <c r="BJ199" s="273"/>
      <c r="BK199" s="273"/>
      <c r="BL199" s="273"/>
      <c r="BM199" s="273"/>
      <c r="BN199" s="273"/>
      <c r="BO199" s="273"/>
      <c r="BP199" s="273"/>
      <c r="BQ199" s="273"/>
      <c r="BR199" s="273"/>
      <c r="BS199" s="273"/>
      <c r="BT199" s="273"/>
      <c r="BU199" s="273"/>
      <c r="BV199" s="273"/>
      <c r="BW199" s="273"/>
      <c r="BX199" s="273"/>
      <c r="BY199" s="273"/>
      <c r="BZ199" s="273"/>
      <c r="CA199" s="273"/>
      <c r="CB199" s="273"/>
      <c r="CC199" s="273"/>
      <c r="CD199" s="273"/>
    </row>
    <row r="200" spans="47:82" x14ac:dyDescent="0.2">
      <c r="BF200" s="109"/>
    </row>
    <row r="201" spans="47:82" x14ac:dyDescent="0.2">
      <c r="BF201" s="216"/>
      <c r="BG201" s="274"/>
      <c r="BH201" s="274"/>
      <c r="BI201" s="274"/>
      <c r="BJ201" s="274"/>
      <c r="BK201" s="274"/>
      <c r="BL201" s="274"/>
      <c r="BM201" s="274"/>
      <c r="BN201" s="274"/>
      <c r="BO201" s="274"/>
      <c r="BP201" s="274"/>
      <c r="BQ201" s="274"/>
      <c r="BR201" s="274"/>
      <c r="BS201" s="274"/>
      <c r="BT201" s="274"/>
      <c r="BU201" s="274"/>
      <c r="BV201" s="274"/>
      <c r="BW201" s="274"/>
      <c r="BX201" s="274"/>
      <c r="BY201" s="274"/>
      <c r="BZ201" s="274"/>
      <c r="CA201" s="274"/>
      <c r="CB201" s="274"/>
      <c r="CC201" s="274"/>
      <c r="CD201" s="274"/>
    </row>
    <row r="202" spans="47:82" x14ac:dyDescent="0.2">
      <c r="BF202" s="109"/>
      <c r="BG202" s="186"/>
      <c r="BH202" s="186"/>
      <c r="BI202" s="186"/>
      <c r="BJ202" s="186"/>
      <c r="BK202" s="186"/>
      <c r="BL202" s="186"/>
      <c r="BM202" s="186"/>
      <c r="BN202" s="186"/>
      <c r="BO202" s="186"/>
      <c r="BP202" s="186"/>
      <c r="BQ202" s="186"/>
      <c r="BR202" s="186"/>
      <c r="BS202" s="186"/>
      <c r="BT202" s="186"/>
      <c r="BU202" s="186"/>
      <c r="BV202" s="186"/>
      <c r="BW202" s="186"/>
      <c r="BX202" s="186"/>
      <c r="BY202" s="186"/>
      <c r="BZ202" s="186"/>
      <c r="CA202" s="186"/>
      <c r="CB202" s="186"/>
      <c r="CC202" s="186"/>
      <c r="CD202" s="186"/>
    </row>
    <row r="204" spans="47:82" x14ac:dyDescent="0.2">
      <c r="BG204" s="217"/>
      <c r="BH204" s="217"/>
      <c r="BI204" s="217"/>
      <c r="BJ204" s="217"/>
      <c r="BK204" s="217"/>
      <c r="BL204" s="217"/>
      <c r="BM204" s="109"/>
      <c r="BN204" s="109"/>
      <c r="BO204" s="109"/>
      <c r="BP204" s="109"/>
      <c r="BQ204" s="109"/>
      <c r="BR204" s="217"/>
      <c r="BS204" s="217"/>
      <c r="BT204" s="217"/>
      <c r="BU204" s="109"/>
      <c r="BV204" s="109"/>
      <c r="BW204" s="109"/>
      <c r="BX204" s="109"/>
      <c r="BY204" s="109"/>
      <c r="BZ204" s="109"/>
      <c r="CA204" s="109"/>
      <c r="CB204" s="109"/>
      <c r="CC204" s="109"/>
      <c r="CD204" s="109"/>
    </row>
    <row r="205" spans="47:82" x14ac:dyDescent="0.2">
      <c r="BG205" s="217"/>
      <c r="BH205" s="217"/>
      <c r="BI205" s="217"/>
      <c r="BJ205" s="217"/>
      <c r="BK205" s="217"/>
      <c r="BL205" s="217"/>
      <c r="BQ205" s="217"/>
      <c r="BR205" s="217"/>
      <c r="BS205" s="217"/>
      <c r="BT205" s="217"/>
      <c r="BY205" s="217"/>
      <c r="BZ205" s="217"/>
      <c r="CA205" s="217"/>
      <c r="CB205" s="217"/>
      <c r="CC205" s="217"/>
      <c r="CD205" s="217"/>
    </row>
  </sheetData>
  <sheetProtection algorithmName="SHA-512" hashValue="vpGLlubYZrHKwm79UuFoNCHlNlQyUwE3znfSLlfUJTNcnN6sg9ngqnsr+O2x97OurwCchsIhEh82v8MvwhjGoA==" saltValue="/W3PpI01v4VMMXw3EFFXRg==" spinCount="100000" sheet="1" objects="1" scenarios="1" selectLockedCells="1"/>
  <protectedRanges>
    <protectedRange sqref="B132 B135 D138:D163" name="Range1"/>
  </protectedRanges>
  <mergeCells count="17">
    <mergeCell ref="BX180:BY180"/>
    <mergeCell ref="BG49:BH49"/>
    <mergeCell ref="AS51:AT51"/>
    <mergeCell ref="B133:B134"/>
    <mergeCell ref="BL178:BN178"/>
    <mergeCell ref="BL180:BM180"/>
    <mergeCell ref="AO135:AP135"/>
    <mergeCell ref="B33:E33"/>
    <mergeCell ref="BR57:BS57"/>
    <mergeCell ref="BG51:BH51"/>
    <mergeCell ref="BG56:BQ57"/>
    <mergeCell ref="BG53:BQ54"/>
    <mergeCell ref="CG57:CH57"/>
    <mergeCell ref="CP54:CQ54"/>
    <mergeCell ref="CE51:CF51"/>
    <mergeCell ref="CI56:CQ57"/>
    <mergeCell ref="CG50:CQ51"/>
  </mergeCells>
  <phoneticPr fontId="2" type="noConversion"/>
  <conditionalFormatting sqref="B140:G140 J140:Z140 AB140 AE140 AH140:AP140">
    <cfRule type="expression" dxfId="620" priority="59">
      <formula>$B$135&lt;3</formula>
    </cfRule>
  </conditionalFormatting>
  <conditionalFormatting sqref="B141:G141 J141:Z141 AB141 AE141 AH141:AP141">
    <cfRule type="expression" dxfId="619" priority="58">
      <formula>$B$135&lt;4</formula>
    </cfRule>
  </conditionalFormatting>
  <conditionalFormatting sqref="B142:G142 J142:Z142 AB142 AE142 AH142:AP142">
    <cfRule type="expression" dxfId="618" priority="57">
      <formula>$B$135&lt;5</formula>
    </cfRule>
  </conditionalFormatting>
  <conditionalFormatting sqref="B143:G143 J143:Z143 AB143 AE143 AH143:AP143">
    <cfRule type="expression" dxfId="617" priority="56">
      <formula>$B$135&lt;6</formula>
    </cfRule>
  </conditionalFormatting>
  <conditionalFormatting sqref="B144:G144 J144:Z144 AB144 AE144 AH144:AP144">
    <cfRule type="expression" dxfId="616" priority="55">
      <formula>$B$135&lt;7</formula>
    </cfRule>
  </conditionalFormatting>
  <conditionalFormatting sqref="B145:G145 J145:Z145 AB145 AE145 AH145:AP145">
    <cfRule type="expression" dxfId="615" priority="54">
      <formula>$B$135&lt;8</formula>
    </cfRule>
  </conditionalFormatting>
  <conditionalFormatting sqref="B146:G146 J146:Z146 AB146 AE146 AH146:AP146">
    <cfRule type="expression" dxfId="614" priority="53">
      <formula>$B$135&lt;9</formula>
    </cfRule>
  </conditionalFormatting>
  <conditionalFormatting sqref="B147:G147 J147:Z147 AB147 AE147 AH147:AP147">
    <cfRule type="expression" dxfId="613" priority="52">
      <formula>$B$135&lt;10</formula>
    </cfRule>
  </conditionalFormatting>
  <conditionalFormatting sqref="B148:G148 J148:Z148 AB148 AE148 AH148:AP148">
    <cfRule type="expression" dxfId="612" priority="51">
      <formula>$B$135&lt;11</formula>
    </cfRule>
  </conditionalFormatting>
  <conditionalFormatting sqref="B149:G149 J149:Z149 AB149 AE149 AH149:AP149">
    <cfRule type="expression" dxfId="611" priority="50">
      <formula>$B$135&lt;12</formula>
    </cfRule>
  </conditionalFormatting>
  <conditionalFormatting sqref="B150:G150 J150:Z150 AB150 AE150 AH150:AP150">
    <cfRule type="expression" dxfId="610" priority="49">
      <formula>$B$135&lt;13</formula>
    </cfRule>
  </conditionalFormatting>
  <conditionalFormatting sqref="B151:G151 J151:Z151 AB151 AE151 AH151:AP151">
    <cfRule type="expression" dxfId="609" priority="48">
      <formula>$B$135&lt;14</formula>
    </cfRule>
  </conditionalFormatting>
  <conditionalFormatting sqref="B152:G152 J152:Z152 AB152 AE152 AH152:AP152">
    <cfRule type="expression" dxfId="608" priority="47">
      <formula>$B$135&lt;15</formula>
    </cfRule>
  </conditionalFormatting>
  <conditionalFormatting sqref="B153:G153 J153:Z153 AB153 AE153 AH153:AP153">
    <cfRule type="expression" dxfId="607" priority="46">
      <formula>$B$135&lt;16</formula>
    </cfRule>
  </conditionalFormatting>
  <conditionalFormatting sqref="B154:G154 J154:Z154 AB154 AE154 AH154:AP154">
    <cfRule type="expression" dxfId="606" priority="45">
      <formula>$B$135&lt;17</formula>
    </cfRule>
  </conditionalFormatting>
  <conditionalFormatting sqref="B155:G155 J155:Z155 AB155 AE155 AH155:AP155">
    <cfRule type="expression" dxfId="605" priority="44">
      <formula>$B$135&lt;18</formula>
    </cfRule>
  </conditionalFormatting>
  <conditionalFormatting sqref="B158:W158 Y158:AP158">
    <cfRule type="expression" dxfId="604" priority="41">
      <formula>$B$135&lt;21</formula>
    </cfRule>
  </conditionalFormatting>
  <conditionalFormatting sqref="B160:W160 Y160:AP160">
    <cfRule type="expression" dxfId="603" priority="5">
      <formula>$B$135&lt;23</formula>
    </cfRule>
  </conditionalFormatting>
  <conditionalFormatting sqref="B161:W161 Y161:AP161">
    <cfRule type="expression" dxfId="602" priority="4">
      <formula>$B$135&lt;24</formula>
    </cfRule>
  </conditionalFormatting>
  <conditionalFormatting sqref="B162:W162 Y162:AP162">
    <cfRule type="expression" dxfId="601" priority="3">
      <formula>$B$135&lt;25</formula>
    </cfRule>
  </conditionalFormatting>
  <conditionalFormatting sqref="B163:W163 Y163:AP163">
    <cfRule type="expression" dxfId="600" priority="2">
      <formula>$B$135&lt;26</formula>
    </cfRule>
  </conditionalFormatting>
  <conditionalFormatting sqref="B139:AP139">
    <cfRule type="expression" dxfId="599" priority="22">
      <formula>$B$135&lt;2</formula>
    </cfRule>
  </conditionalFormatting>
  <conditionalFormatting sqref="B156:AP156">
    <cfRule type="expression" dxfId="598" priority="8">
      <formula>$B$135&lt;19</formula>
    </cfRule>
  </conditionalFormatting>
  <conditionalFormatting sqref="B157:AP157">
    <cfRule type="expression" dxfId="597" priority="43">
      <formula>$B$135&lt;20</formula>
    </cfRule>
  </conditionalFormatting>
  <conditionalFormatting sqref="B159:AP159">
    <cfRule type="expression" dxfId="596" priority="7">
      <formula>$B$135&lt;22</formula>
    </cfRule>
  </conditionalFormatting>
  <conditionalFormatting sqref="D131:D132">
    <cfRule type="cellIs" dxfId="595" priority="65" stopIfTrue="1" operator="equal">
      <formula>"change the angle of frame or of cabinets"</formula>
    </cfRule>
  </conditionalFormatting>
  <conditionalFormatting sqref="D133">
    <cfRule type="cellIs" dxfId="594" priority="64" stopIfTrue="1" operator="equal">
      <formula>"USE EXBAR AR AT THE FRONT"</formula>
    </cfRule>
  </conditionalFormatting>
  <conditionalFormatting sqref="D134">
    <cfRule type="cellIs" dxfId="593" priority="63" stopIfTrue="1" operator="equal">
      <formula>"USE EXBAR AR AT THE BACK"</formula>
    </cfRule>
  </conditionalFormatting>
  <conditionalFormatting sqref="D138:D163">
    <cfRule type="cellIs" dxfId="592" priority="62" operator="notEqual">
      <formula>0</formula>
    </cfRule>
  </conditionalFormatting>
  <conditionalFormatting sqref="AO138:AP163">
    <cfRule type="cellIs" dxfId="591" priority="61" operator="lessThan">
      <formula>10</formula>
    </cfRule>
  </conditionalFormatting>
  <conditionalFormatting sqref="BD50">
    <cfRule type="cellIs" dxfId="590" priority="24" operator="equal">
      <formula>"""OK"""</formula>
    </cfRule>
    <cfRule type="cellIs" dxfId="589" priority="25" stopIfTrue="1" operator="equal">
      <formula>"negative force at the motor"</formula>
    </cfRule>
  </conditionalFormatting>
  <conditionalFormatting sqref="BD51 BD54 BD57 BD85">
    <cfRule type="cellIs" dxfId="588" priority="29" operator="equal">
      <formula>"OVERLOAD"</formula>
    </cfRule>
  </conditionalFormatting>
  <conditionalFormatting sqref="BD53">
    <cfRule type="cellIs" dxfId="587" priority="38" stopIfTrue="1" operator="equal">
      <formula>"negative force at the motor"</formula>
    </cfRule>
    <cfRule type="cellIs" dxfId="586" priority="37" operator="equal">
      <formula>"""OK"""</formula>
    </cfRule>
  </conditionalFormatting>
  <conditionalFormatting sqref="BD56">
    <cfRule type="cellIs" dxfId="585" priority="27" stopIfTrue="1" operator="equal">
      <formula>"negative force at the motor"</formula>
    </cfRule>
    <cfRule type="cellIs" dxfId="584" priority="26" operator="equal">
      <formula>"""OK"""</formula>
    </cfRule>
  </conditionalFormatting>
  <conditionalFormatting sqref="BD80 BD126">
    <cfRule type="cellIs" dxfId="583" priority="32" operator="equal">
      <formula>"OVERLOAD"</formula>
    </cfRule>
  </conditionalFormatting>
  <conditionalFormatting sqref="BE79:BE80 BD80 BE125:BE126 BD126">
    <cfRule type="expression" dxfId="582" priority="28">
      <formula>$B$132&lt;&gt;0</formula>
    </cfRule>
  </conditionalFormatting>
  <conditionalFormatting sqref="BG125:BW125">
    <cfRule type="expression" dxfId="581" priority="34">
      <formula>$B$132=0</formula>
    </cfRule>
  </conditionalFormatting>
  <conditionalFormatting sqref="BR79:CH79">
    <cfRule type="cellIs" dxfId="580" priority="30" operator="equal">
      <formula>0</formula>
    </cfRule>
    <cfRule type="expression" dxfId="579" priority="33">
      <formula>$B$132=0</formula>
    </cfRule>
  </conditionalFormatting>
  <conditionalFormatting sqref="CA125:CQ125">
    <cfRule type="expression" dxfId="578" priority="31">
      <formula>$B$132=0</formula>
    </cfRule>
  </conditionalFormatting>
  <dataValidations count="6">
    <dataValidation type="whole" allowBlank="1" showInputMessage="1" showErrorMessage="1" errorTitle="Coda Audio" error="YOU HAVE ENTERED A WRONG NUMBER OF CABINETS" promptTitle="Coda Audio" prompt="ENTER THE NUMBER OF CABINETS FROM 1 UP TO 26" sqref="B135" xr:uid="{00000000-0002-0000-0000-000000000000}">
      <formula1>1</formula1>
      <formula2>26</formula2>
    </dataValidation>
    <dataValidation type="decimal" allowBlank="1" showInputMessage="1" showErrorMessage="1" sqref="G138" xr:uid="{00000000-0002-0000-0000-000001000000}">
      <formula1>0</formula1>
      <formula2>4</formula2>
    </dataValidation>
    <dataValidation type="decimal" allowBlank="1" showInputMessage="1" showErrorMessage="1" sqref="G139:G163" xr:uid="{00000000-0002-0000-0000-000002000000}">
      <formula1>0</formula1>
      <formula2>8</formula2>
    </dataValidation>
    <dataValidation type="whole" allowBlank="1" showInputMessage="1" showErrorMessage="1" sqref="D138" xr:uid="{00000000-0002-0000-0000-000003000000}">
      <formula1>-2</formula1>
      <formula2>4</formula2>
    </dataValidation>
    <dataValidation type="decimal" allowBlank="1" showInputMessage="1" showErrorMessage="1" sqref="B132" xr:uid="{00000000-0002-0000-0000-000004000000}">
      <formula1>-89.9</formula1>
      <formula2>89.9</formula2>
    </dataValidation>
    <dataValidation type="custom" allowBlank="1" showInputMessage="1" showErrorMessage="1" sqref="D139:D163" xr:uid="{00000000-0002-0000-0000-000005000000}">
      <formula1>OR(D139=0.5,D139=2.5,D139=1,D139=2,D139=2.5,D139=3,D139=4,D139=5,D139=6,D139=7,D139=8,D139=9,D139=10)</formula1>
    </dataValidation>
  </dataValidations>
  <pageMargins left="0.75" right="0.75" top="1" bottom="1" header="0.5" footer="0.5"/>
  <pageSetup paperSize="9" orientation="portrait" horizontalDpi="4294967293" verticalDpi="200" r:id="rId1"/>
  <headerFooter alignWithMargins="0"/>
  <ignoredErrors>
    <ignoredError sqref="BD52:BE52 BD59:BE78 BD50 BD55:BE55 BD53 BD58:BE58 BD56 BD81:BE83 BD79 BD85 BD84 BD54 BD51 BD57 BD80" unlockedFormula="1"/>
  </ignoredErrors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2" tint="-9.9978637043366805E-2"/>
  </sheetPr>
  <dimension ref="A1:EA205"/>
  <sheetViews>
    <sheetView topLeftCell="A49" zoomScale="50" zoomScaleNormal="50" workbookViewId="0">
      <selection activeCell="B135" sqref="B135"/>
    </sheetView>
  </sheetViews>
  <sheetFormatPr baseColWidth="10" defaultColWidth="9.1640625" defaultRowHeight="16" x14ac:dyDescent="0.2"/>
  <cols>
    <col min="1" max="1" width="3" customWidth="1"/>
    <col min="2" max="2" width="32.6640625" style="24" customWidth="1"/>
    <col min="3" max="3" width="23" style="24" hidden="1" customWidth="1"/>
    <col min="4" max="4" width="31.33203125" style="26" customWidth="1"/>
    <col min="5" max="5" width="43.33203125" style="26" customWidth="1"/>
    <col min="6" max="6" width="32.5" style="26" customWidth="1"/>
    <col min="7" max="7" width="13.5" style="26" hidden="1" customWidth="1"/>
    <col min="8" max="20" width="13.5" hidden="1" customWidth="1"/>
    <col min="21" max="21" width="6.33203125" hidden="1" customWidth="1"/>
    <col min="22" max="22" width="16.33203125" hidden="1" customWidth="1"/>
    <col min="23" max="23" width="11.83203125" hidden="1" customWidth="1"/>
    <col min="24" max="24" width="22.6640625" hidden="1" customWidth="1"/>
    <col min="25" max="25" width="12.5" hidden="1" customWidth="1"/>
    <col min="26" max="26" width="18.6640625" hidden="1" customWidth="1"/>
    <col min="27" max="27" width="15.5" hidden="1" customWidth="1"/>
    <col min="28" max="28" width="21.5" hidden="1" customWidth="1"/>
    <col min="29" max="29" width="20.83203125" hidden="1" customWidth="1"/>
    <col min="30" max="30" width="15.5" hidden="1" customWidth="1"/>
    <col min="31" max="31" width="18.83203125" hidden="1" customWidth="1"/>
    <col min="32" max="32" width="29.6640625" hidden="1" customWidth="1"/>
    <col min="33" max="33" width="14.33203125" hidden="1" customWidth="1"/>
    <col min="34" max="34" width="16.5" hidden="1" customWidth="1"/>
    <col min="35" max="37" width="16.33203125" hidden="1" customWidth="1"/>
    <col min="38" max="38" width="13.5" hidden="1" customWidth="1"/>
    <col min="39" max="39" width="17.83203125" hidden="1" customWidth="1"/>
    <col min="40" max="41" width="11.6640625" customWidth="1"/>
    <col min="42" max="42" width="17.6640625" hidden="1" customWidth="1"/>
    <col min="43" max="43" width="17.5" hidden="1" customWidth="1"/>
    <col min="44" max="44" width="11.83203125" hidden="1" customWidth="1"/>
    <col min="45" max="45" width="14.83203125" hidden="1" customWidth="1"/>
    <col min="46" max="46" width="5.33203125" hidden="1" customWidth="1"/>
    <col min="47" max="47" width="8.5" hidden="1" customWidth="1"/>
    <col min="48" max="48" width="136" hidden="1" customWidth="1"/>
    <col min="49" max="51" width="16.33203125" hidden="1" customWidth="1"/>
    <col min="52" max="52" width="9.83203125" hidden="1" customWidth="1"/>
    <col min="53" max="53" width="12.5" hidden="1" customWidth="1"/>
    <col min="54" max="54" width="16" hidden="1" customWidth="1"/>
    <col min="55" max="55" width="24.83203125" bestFit="1" customWidth="1"/>
    <col min="56" max="56" width="35.83203125" style="43" customWidth="1"/>
    <col min="57" max="57" width="43.83203125" customWidth="1"/>
    <col min="58" max="94" width="7.1640625" customWidth="1"/>
    <col min="95" max="95" width="7.6640625" customWidth="1"/>
    <col min="96" max="96" width="16" hidden="1" customWidth="1"/>
    <col min="97" max="97" width="41" hidden="1" customWidth="1"/>
    <col min="98" max="98" width="18" hidden="1" customWidth="1"/>
    <col min="99" max="99" width="11.5" hidden="1" customWidth="1"/>
    <col min="100" max="131" width="9.1640625" hidden="1" customWidth="1"/>
    <col min="132" max="132" width="0" hidden="1" customWidth="1"/>
  </cols>
  <sheetData>
    <row r="1" spans="2:15" ht="20" hidden="1" x14ac:dyDescent="0.2">
      <c r="D1" s="25" t="s">
        <v>93</v>
      </c>
      <c r="E1" s="25" t="s">
        <v>94</v>
      </c>
      <c r="F1" s="25" t="s">
        <v>95</v>
      </c>
      <c r="G1" s="789" t="s">
        <v>165</v>
      </c>
      <c r="H1" s="790">
        <v>18000</v>
      </c>
      <c r="I1" s="919"/>
      <c r="J1" s="919"/>
      <c r="K1" s="919"/>
      <c r="L1" s="919"/>
      <c r="M1" s="919"/>
      <c r="N1" s="919"/>
      <c r="O1" s="792"/>
    </row>
    <row r="2" spans="2:15" ht="20" hidden="1" x14ac:dyDescent="0.2">
      <c r="B2" s="920" t="s">
        <v>24</v>
      </c>
      <c r="C2" s="28">
        <v>688</v>
      </c>
      <c r="D2" s="29">
        <f>+COS(($B$132*-1)*3.14159265358979/180)*C2</f>
        <v>688</v>
      </c>
      <c r="E2" s="30">
        <f>+COS(($B$132*-1)*3.14159265358979/180)*43</f>
        <v>43</v>
      </c>
      <c r="F2" s="31">
        <f>+COS((($B$132*-1)+72.969997)*3.14159265358979/180)*162.1867</f>
        <v>47.500013702602963</v>
      </c>
      <c r="G2" s="793" t="s">
        <v>157</v>
      </c>
      <c r="H2" s="757">
        <v>77</v>
      </c>
      <c r="I2" s="43"/>
      <c r="J2" s="43"/>
      <c r="K2" s="43"/>
      <c r="L2" s="43"/>
      <c r="M2" s="43"/>
      <c r="N2" s="43"/>
      <c r="O2" s="794"/>
    </row>
    <row r="3" spans="2:15" ht="20" hidden="1" x14ac:dyDescent="0.2">
      <c r="B3" s="920" t="s">
        <v>102</v>
      </c>
      <c r="C3" s="921">
        <f>+C15-47.5</f>
        <v>169.79447530964683</v>
      </c>
      <c r="D3" s="29">
        <f>+C15-F2</f>
        <v>169.79446160704387</v>
      </c>
      <c r="E3" s="46"/>
      <c r="F3" s="46"/>
      <c r="G3" s="793" t="s">
        <v>158</v>
      </c>
      <c r="H3" s="758">
        <v>215</v>
      </c>
      <c r="I3" s="165"/>
      <c r="J3" s="43"/>
      <c r="K3" s="43"/>
      <c r="L3" s="43"/>
      <c r="M3" s="43"/>
      <c r="N3" s="43"/>
      <c r="O3" s="794"/>
    </row>
    <row r="4" spans="2:15" ht="58" hidden="1" thickBot="1" x14ac:dyDescent="0.25">
      <c r="B4" s="922" t="s">
        <v>103</v>
      </c>
      <c r="C4" s="923">
        <v>1075</v>
      </c>
      <c r="D4" s="29">
        <f>+COS(($B$132*-1)*3.14159265358979/180)*C4</f>
        <v>1075</v>
      </c>
      <c r="E4" s="46"/>
      <c r="F4" s="46"/>
      <c r="G4" s="795" t="s">
        <v>178</v>
      </c>
      <c r="H4" s="762">
        <v>860</v>
      </c>
      <c r="I4" s="783">
        <v>1</v>
      </c>
      <c r="J4" s="1047" t="s">
        <v>173</v>
      </c>
      <c r="K4" s="1054"/>
      <c r="L4" s="1054"/>
      <c r="M4" s="1054"/>
      <c r="N4" s="43"/>
      <c r="O4" s="794"/>
    </row>
    <row r="5" spans="2:15" ht="38" hidden="1" x14ac:dyDescent="0.2">
      <c r="B5" s="922" t="s">
        <v>104</v>
      </c>
      <c r="C5" s="923">
        <f>+C15+425.5</f>
        <v>642.79447530964683</v>
      </c>
      <c r="D5" s="29">
        <f>+(COS(($B$132*-1)*3.14159265358979/180)*473)+$D$3</f>
        <v>642.7944616070439</v>
      </c>
      <c r="E5" s="46"/>
      <c r="F5" s="46"/>
      <c r="G5" s="795" t="s">
        <v>159</v>
      </c>
      <c r="H5" s="762">
        <v>688</v>
      </c>
      <c r="I5" s="43"/>
      <c r="J5" s="761" t="s">
        <v>162</v>
      </c>
      <c r="K5" s="761" t="s">
        <v>170</v>
      </c>
      <c r="L5" s="771" t="s">
        <v>169</v>
      </c>
      <c r="M5" s="924"/>
      <c r="N5" s="43"/>
      <c r="O5" s="794"/>
    </row>
    <row r="6" spans="2:15" ht="20" hidden="1" x14ac:dyDescent="0.2">
      <c r="B6" s="44"/>
      <c r="C6" s="45"/>
      <c r="D6" s="46"/>
      <c r="E6" s="46"/>
      <c r="F6" s="46"/>
      <c r="G6" s="795" t="s">
        <v>204</v>
      </c>
      <c r="H6" s="762">
        <v>602</v>
      </c>
      <c r="I6" s="43"/>
      <c r="J6" s="763">
        <f>+H9/H8*BF51</f>
        <v>107.17089145490827</v>
      </c>
      <c r="K6" s="763">
        <f>((H8-H9)/H8)*BF51</f>
        <v>-73.679987875249438</v>
      </c>
      <c r="L6" s="763">
        <f>+CD51</f>
        <v>49.80909642034117</v>
      </c>
      <c r="M6" s="761" t="s">
        <v>168</v>
      </c>
      <c r="N6" s="43"/>
      <c r="O6" s="794"/>
    </row>
    <row r="7" spans="2:15" ht="20" hidden="1" x14ac:dyDescent="0.2">
      <c r="B7" s="37" t="s">
        <v>68</v>
      </c>
      <c r="C7" s="38">
        <v>5800</v>
      </c>
      <c r="D7" s="38">
        <v>10000</v>
      </c>
      <c r="E7" s="46"/>
      <c r="F7" s="46"/>
      <c r="G7" s="796" t="s">
        <v>175</v>
      </c>
      <c r="H7" s="756">
        <f>(+SIN(($B$132*-1)*3.14159265358979/180)*H2)</f>
        <v>0</v>
      </c>
      <c r="I7" s="43"/>
      <c r="J7" s="764">
        <f>ABS($H$1/J6)</f>
        <v>167.95605369741119</v>
      </c>
      <c r="K7" s="764">
        <f>ABS($H$1/K6)</f>
        <v>244.29971446896172</v>
      </c>
      <c r="L7" s="764">
        <f>ABS($H$1/L6)</f>
        <v>361.37977384888097</v>
      </c>
      <c r="M7" s="766" t="s">
        <v>167</v>
      </c>
      <c r="N7" s="43"/>
      <c r="O7" s="794"/>
    </row>
    <row r="8" spans="2:15" ht="21" hidden="1" thickBot="1" x14ac:dyDescent="0.25">
      <c r="B8" s="37" t="s">
        <v>75</v>
      </c>
      <c r="C8" s="39">
        <v>8000</v>
      </c>
      <c r="D8" s="39">
        <v>8000</v>
      </c>
      <c r="E8" s="38">
        <v>8000</v>
      </c>
      <c r="F8" s="46"/>
      <c r="G8" s="796" t="s">
        <v>174</v>
      </c>
      <c r="H8" s="756">
        <f>(+COS(($B$132*-1)*3.14159265358979/180)*H3)</f>
        <v>215</v>
      </c>
      <c r="I8" s="43"/>
      <c r="J8" s="1045">
        <f>ABS($E$8/BF51)</f>
        <v>238.87083192520703</v>
      </c>
      <c r="K8" s="1045"/>
      <c r="L8" s="1045">
        <f>ABS($E$8/CD51)</f>
        <v>160.61323282172489</v>
      </c>
      <c r="M8" s="1046" t="s">
        <v>308</v>
      </c>
      <c r="N8" s="43"/>
      <c r="O8" s="794"/>
    </row>
    <row r="9" spans="2:15" ht="21" hidden="1" thickBot="1" x14ac:dyDescent="0.25">
      <c r="B9" s="40"/>
      <c r="C9" s="925" t="s">
        <v>18</v>
      </c>
      <c r="D9" s="925" t="s">
        <v>19</v>
      </c>
      <c r="E9" s="46"/>
      <c r="F9" s="46"/>
      <c r="G9" s="793" t="s">
        <v>172</v>
      </c>
      <c r="H9" s="756">
        <f>+D2+H7</f>
        <v>688</v>
      </c>
      <c r="I9" s="43"/>
      <c r="J9" s="43"/>
      <c r="K9" s="43"/>
      <c r="L9" s="43"/>
      <c r="M9" s="43"/>
      <c r="N9" s="43"/>
      <c r="O9" s="794"/>
    </row>
    <row r="10" spans="2:15" ht="21" hidden="1" thickBot="1" x14ac:dyDescent="0.25">
      <c r="B10" s="40" t="s">
        <v>15</v>
      </c>
      <c r="C10" s="926">
        <f>+((C13-C15)/C13)*C12</f>
        <v>46.538845981011221</v>
      </c>
      <c r="D10" s="926">
        <f>+(C15/C13)*C12</f>
        <v>36.761154018988769</v>
      </c>
      <c r="E10" s="46"/>
      <c r="F10" s="46"/>
      <c r="G10" s="927"/>
      <c r="H10" s="43"/>
      <c r="I10" s="783">
        <v>2</v>
      </c>
      <c r="J10" s="1047" t="s">
        <v>180</v>
      </c>
      <c r="K10" s="1047"/>
      <c r="L10" s="1049"/>
      <c r="M10" s="1049"/>
      <c r="N10" s="43"/>
      <c r="O10" s="794"/>
    </row>
    <row r="11" spans="2:15" ht="36" hidden="1" customHeight="1" thickBot="1" x14ac:dyDescent="0.25">
      <c r="B11" s="44"/>
      <c r="C11" s="885" t="s">
        <v>213</v>
      </c>
      <c r="D11" s="46"/>
      <c r="E11" s="46"/>
      <c r="F11" s="46"/>
      <c r="G11" s="793" t="s">
        <v>171</v>
      </c>
      <c r="H11" s="756">
        <f>+D2-H7</f>
        <v>688</v>
      </c>
      <c r="I11" s="43"/>
      <c r="J11" s="771" t="s">
        <v>163</v>
      </c>
      <c r="K11" s="761" t="s">
        <v>160</v>
      </c>
      <c r="L11" s="761" t="s">
        <v>161</v>
      </c>
      <c r="M11" s="924"/>
      <c r="N11" s="43"/>
      <c r="O11" s="794"/>
    </row>
    <row r="12" spans="2:15" ht="24" hidden="1" customHeight="1" thickBot="1" x14ac:dyDescent="0.25">
      <c r="B12" s="928" t="s">
        <v>49</v>
      </c>
      <c r="C12" s="934">
        <f>+(B135*C16)+19+4.5+0.5+30</f>
        <v>83.3</v>
      </c>
      <c r="D12" s="887" t="s">
        <v>223</v>
      </c>
      <c r="E12" s="46"/>
      <c r="F12" s="46"/>
      <c r="G12" s="927"/>
      <c r="H12" s="46"/>
      <c r="I12" s="43"/>
      <c r="J12" s="763">
        <f>(BQ54)</f>
        <v>70.142903579658835</v>
      </c>
      <c r="K12" s="763">
        <f>((+H8-H11)/H8*CO54)</f>
        <v>-28.945612124750571</v>
      </c>
      <c r="L12" s="763">
        <f>(H11/H8*CO54)</f>
        <v>42.102708545091737</v>
      </c>
      <c r="M12" s="761" t="s">
        <v>168</v>
      </c>
      <c r="N12" s="43"/>
      <c r="O12" s="794"/>
    </row>
    <row r="13" spans="2:15" ht="24" hidden="1" customHeight="1" x14ac:dyDescent="0.2">
      <c r="B13" s="41" t="s">
        <v>50</v>
      </c>
      <c r="C13" s="934">
        <v>492.38470000000001</v>
      </c>
      <c r="D13" s="46"/>
      <c r="E13" s="46"/>
      <c r="F13" s="46"/>
      <c r="G13" s="927"/>
      <c r="H13" s="43"/>
      <c r="I13" s="43"/>
      <c r="J13" s="764">
        <f>ABS($H$1/J12)</f>
        <v>256.61897471293059</v>
      </c>
      <c r="K13" s="764">
        <f>ABS($H$1/K12)</f>
        <v>621.85591109364418</v>
      </c>
      <c r="L13" s="764">
        <f>ABS($H$1/L12)</f>
        <v>427.52593887688039</v>
      </c>
      <c r="M13" s="766" t="s">
        <v>167</v>
      </c>
      <c r="N13" s="43"/>
      <c r="O13" s="794"/>
    </row>
    <row r="14" spans="2:15" ht="24" hidden="1" customHeight="1" x14ac:dyDescent="0.2">
      <c r="B14" s="42">
        <f>+B135</f>
        <v>1</v>
      </c>
      <c r="C14" s="929">
        <f>IF(B14&lt;=24,B14)</f>
        <v>1</v>
      </c>
      <c r="D14" s="46"/>
      <c r="E14" s="46"/>
      <c r="F14" s="46"/>
      <c r="G14" s="927"/>
      <c r="H14" s="43"/>
      <c r="I14" s="43"/>
      <c r="J14" s="1045">
        <f>ABS($E$8/BQ54)</f>
        <v>114.05287765019138</v>
      </c>
      <c r="K14" s="1045"/>
      <c r="L14" s="1045">
        <f>ABS($E$8/CO54)</f>
        <v>608.0368908471188</v>
      </c>
      <c r="M14" s="1046" t="s">
        <v>308</v>
      </c>
      <c r="N14" s="43"/>
      <c r="O14" s="794"/>
    </row>
    <row r="15" spans="2:15" ht="24" hidden="1" customHeight="1" thickBot="1" x14ac:dyDescent="0.25">
      <c r="B15" s="41" t="s">
        <v>51</v>
      </c>
      <c r="C15" s="928">
        <f>+X133</f>
        <v>217.29447530964683</v>
      </c>
      <c r="D15" s="46"/>
      <c r="E15" s="46"/>
      <c r="F15" s="46"/>
      <c r="G15" s="927"/>
      <c r="H15" s="43"/>
      <c r="I15" s="43"/>
      <c r="J15" s="43"/>
      <c r="K15" s="43"/>
      <c r="L15" s="43"/>
      <c r="M15" s="43"/>
      <c r="N15" s="43"/>
      <c r="O15" s="794"/>
    </row>
    <row r="16" spans="2:15" ht="21" hidden="1" thickBot="1" x14ac:dyDescent="0.25">
      <c r="B16" s="912" t="s">
        <v>221</v>
      </c>
      <c r="C16" s="913">
        <v>29.3</v>
      </c>
      <c r="D16" s="917" t="s">
        <v>222</v>
      </c>
      <c r="E16" s="46"/>
      <c r="F16" s="46"/>
      <c r="G16" s="793" t="s">
        <v>176</v>
      </c>
      <c r="H16" s="930">
        <f>+D2+H7-BA131</f>
        <v>45.2055383929561</v>
      </c>
      <c r="I16" s="783" t="s">
        <v>196</v>
      </c>
      <c r="J16" s="1047" t="s">
        <v>177</v>
      </c>
      <c r="K16" s="1054"/>
      <c r="L16" s="1054"/>
      <c r="M16" s="1054"/>
      <c r="N16" s="43"/>
      <c r="O16" s="794"/>
    </row>
    <row r="17" spans="1:15" ht="20" hidden="1" x14ac:dyDescent="0.2">
      <c r="B17" s="44"/>
      <c r="C17" s="45"/>
      <c r="D17" s="46"/>
      <c r="E17" s="46"/>
      <c r="F17" s="46"/>
      <c r="G17" s="927"/>
      <c r="H17" s="46"/>
      <c r="I17" s="798"/>
      <c r="J17" s="761" t="s">
        <v>162</v>
      </c>
      <c r="K17" s="761" t="s">
        <v>170</v>
      </c>
      <c r="L17" s="761"/>
      <c r="M17" s="924"/>
      <c r="N17" s="43"/>
      <c r="O17" s="794"/>
    </row>
    <row r="18" spans="1:15" ht="20" hidden="1" x14ac:dyDescent="0.2">
      <c r="B18" s="44"/>
      <c r="C18" s="45"/>
      <c r="D18" s="46"/>
      <c r="E18" s="46"/>
      <c r="F18" s="46"/>
      <c r="G18" s="927"/>
      <c r="H18" s="43"/>
      <c r="I18" s="43"/>
      <c r="J18" s="763">
        <f>+H16/H8*BF49</f>
        <v>17.514517898294155</v>
      </c>
      <c r="K18" s="763">
        <f>((H8-H16)/H8)*BF49</f>
        <v>65.785482101705853</v>
      </c>
      <c r="L18" s="763"/>
      <c r="M18" s="761" t="s">
        <v>168</v>
      </c>
      <c r="N18" s="43"/>
      <c r="O18" s="794"/>
    </row>
    <row r="19" spans="1:15" ht="20" hidden="1" x14ac:dyDescent="0.2">
      <c r="B19" s="44"/>
      <c r="C19" s="45"/>
      <c r="D19" s="46"/>
      <c r="E19" s="46"/>
      <c r="F19" s="46"/>
      <c r="G19" s="927"/>
      <c r="H19" s="43"/>
      <c r="I19" s="43"/>
      <c r="J19" s="764">
        <f>ABS($H$1/J18)</f>
        <v>1027.7188389954558</v>
      </c>
      <c r="K19" s="764">
        <f>ABS($H$1/K18)</f>
        <v>273.6166008812034</v>
      </c>
      <c r="L19" s="764"/>
      <c r="M19" s="766" t="s">
        <v>167</v>
      </c>
      <c r="N19" s="43"/>
      <c r="O19" s="794"/>
    </row>
    <row r="20" spans="1:15" ht="20" hidden="1" x14ac:dyDescent="0.2">
      <c r="B20" s="44"/>
      <c r="C20" s="45"/>
      <c r="D20" s="46"/>
      <c r="E20" s="46"/>
      <c r="F20" s="46"/>
      <c r="G20" s="927"/>
      <c r="H20" s="43"/>
      <c r="I20" s="43"/>
      <c r="J20" s="1045">
        <f>ABS($E$8/BF49)</f>
        <v>96.038415366146467</v>
      </c>
      <c r="K20" s="1045"/>
      <c r="L20" s="1045"/>
      <c r="M20" s="1046" t="s">
        <v>308</v>
      </c>
      <c r="N20" s="43"/>
      <c r="O20" s="794"/>
    </row>
    <row r="21" spans="1:15" ht="19" hidden="1" thickBot="1" x14ac:dyDescent="0.25">
      <c r="B21" s="44"/>
      <c r="C21" s="45"/>
      <c r="D21" s="46"/>
      <c r="E21" s="46"/>
      <c r="F21" s="46"/>
      <c r="G21" s="927"/>
      <c r="H21" s="43"/>
      <c r="I21" s="43"/>
      <c r="J21" s="43"/>
      <c r="K21" s="43"/>
      <c r="L21" s="43"/>
      <c r="M21" s="43"/>
      <c r="N21" s="43"/>
      <c r="O21" s="794"/>
    </row>
    <row r="22" spans="1:15" ht="21" hidden="1" thickBot="1" x14ac:dyDescent="0.25">
      <c r="B22" s="44"/>
      <c r="C22" s="45"/>
      <c r="D22" s="46"/>
      <c r="E22" s="46"/>
      <c r="F22" s="46"/>
      <c r="G22" s="793" t="s">
        <v>164</v>
      </c>
      <c r="H22" s="756">
        <f>(+COS(($B$132*-1)*3.14159265358979/180)*(H4))</f>
        <v>860</v>
      </c>
      <c r="I22" s="783" t="s">
        <v>196</v>
      </c>
      <c r="J22" s="1047" t="s">
        <v>199</v>
      </c>
      <c r="K22" s="1054"/>
      <c r="L22" s="1054"/>
      <c r="M22" s="1054"/>
      <c r="N22" s="43"/>
      <c r="O22" s="794"/>
    </row>
    <row r="23" spans="1:15" ht="20" hidden="1" x14ac:dyDescent="0.2">
      <c r="B23" s="44"/>
      <c r="C23" s="45"/>
      <c r="D23" s="46"/>
      <c r="E23" s="46"/>
      <c r="F23" s="46"/>
      <c r="G23" s="793" t="s">
        <v>179</v>
      </c>
      <c r="H23" s="756">
        <f>+BA131-H22+H7</f>
        <v>-217.2055383929561</v>
      </c>
      <c r="I23" s="798"/>
      <c r="J23" s="761"/>
      <c r="K23" s="761" t="s">
        <v>160</v>
      </c>
      <c r="L23" s="761" t="s">
        <v>161</v>
      </c>
      <c r="M23" s="924"/>
      <c r="N23" s="43"/>
      <c r="O23" s="794"/>
    </row>
    <row r="24" spans="1:15" ht="20" hidden="1" x14ac:dyDescent="0.2">
      <c r="B24" s="44"/>
      <c r="C24" s="45"/>
      <c r="D24" s="46"/>
      <c r="E24" s="46"/>
      <c r="F24" s="46"/>
      <c r="G24" s="927"/>
      <c r="H24" s="43"/>
      <c r="I24" s="43"/>
      <c r="J24" s="763"/>
      <c r="K24" s="763">
        <f>((+H8-H23)/H8*BF49)</f>
        <v>167.45451789829414</v>
      </c>
      <c r="L24" s="763">
        <f>(H23/H8*BF49)</f>
        <v>-84.154517898294159</v>
      </c>
      <c r="M24" s="761" t="s">
        <v>168</v>
      </c>
      <c r="N24" s="43"/>
      <c r="O24" s="794"/>
    </row>
    <row r="25" spans="1:15" ht="20" hidden="1" x14ac:dyDescent="0.2">
      <c r="B25" s="44"/>
      <c r="C25" s="45"/>
      <c r="D25" s="46"/>
      <c r="E25" s="46"/>
      <c r="F25" s="46"/>
      <c r="G25" s="927"/>
      <c r="H25" s="43"/>
      <c r="I25" s="43"/>
      <c r="J25" s="764"/>
      <c r="K25" s="764">
        <f>ABS($H$1/K24)</f>
        <v>107.49187436634318</v>
      </c>
      <c r="L25" s="764">
        <f>ABS($H$1/L24)</f>
        <v>213.89225973291289</v>
      </c>
      <c r="M25" s="766" t="s">
        <v>167</v>
      </c>
      <c r="N25" s="43"/>
      <c r="O25" s="794"/>
    </row>
    <row r="26" spans="1:15" ht="20" hidden="1" x14ac:dyDescent="0.2">
      <c r="B26" s="44"/>
      <c r="C26" s="45"/>
      <c r="D26" s="46"/>
      <c r="E26" s="46"/>
      <c r="F26" s="46"/>
      <c r="G26" s="927"/>
      <c r="H26" s="43"/>
      <c r="I26" s="43"/>
      <c r="J26" s="1045"/>
      <c r="K26" s="1045"/>
      <c r="L26" s="1045">
        <f>ABS($E$8/BF49)</f>
        <v>96.038415366146467</v>
      </c>
      <c r="M26" s="1046" t="s">
        <v>308</v>
      </c>
      <c r="N26" s="43"/>
      <c r="O26" s="794"/>
    </row>
    <row r="27" spans="1:15" ht="19" hidden="1" thickBot="1" x14ac:dyDescent="0.25">
      <c r="B27" s="44"/>
      <c r="C27" s="45"/>
      <c r="D27" s="46"/>
      <c r="E27" s="46"/>
      <c r="F27" s="46"/>
      <c r="G27" s="927"/>
      <c r="H27" s="43"/>
      <c r="I27" s="43"/>
      <c r="J27" s="43"/>
      <c r="K27" s="43"/>
      <c r="L27" s="43"/>
      <c r="M27" s="43"/>
      <c r="N27" s="43"/>
      <c r="O27" s="794"/>
    </row>
    <row r="28" spans="1:15" ht="21" hidden="1" thickBot="1" x14ac:dyDescent="0.25">
      <c r="A28" s="43"/>
      <c r="B28" s="44"/>
      <c r="C28" s="45"/>
      <c r="D28" s="46"/>
      <c r="E28" s="46"/>
      <c r="F28" s="46"/>
      <c r="G28" s="927"/>
      <c r="H28" s="43"/>
      <c r="I28" s="783">
        <v>60</v>
      </c>
      <c r="J28" s="1047" t="s">
        <v>186</v>
      </c>
      <c r="K28" s="1054"/>
      <c r="L28" s="1054"/>
      <c r="M28" s="1054"/>
      <c r="N28" s="43"/>
      <c r="O28" s="794"/>
    </row>
    <row r="29" spans="1:15" ht="20" hidden="1" x14ac:dyDescent="0.2">
      <c r="A29" s="43"/>
      <c r="B29" s="44"/>
      <c r="C29" s="45"/>
      <c r="D29" s="46"/>
      <c r="E29" s="46"/>
      <c r="F29" s="46"/>
      <c r="G29" s="927"/>
      <c r="H29" s="43"/>
      <c r="I29" s="43"/>
      <c r="J29" s="761"/>
      <c r="K29" s="761" t="s">
        <v>160</v>
      </c>
      <c r="L29" s="761" t="s">
        <v>161</v>
      </c>
      <c r="M29" s="924"/>
      <c r="N29" s="43"/>
      <c r="O29" s="794"/>
    </row>
    <row r="30" spans="1:15" ht="20" hidden="1" x14ac:dyDescent="0.2">
      <c r="A30" s="43"/>
      <c r="B30" s="47"/>
      <c r="D30" s="48"/>
      <c r="E30" s="46"/>
      <c r="F30" s="48"/>
      <c r="G30" s="799"/>
      <c r="H30" s="47"/>
      <c r="I30" s="43"/>
      <c r="J30" s="763"/>
      <c r="K30" s="763">
        <f>((+H8-H23)/H8*BF49)</f>
        <v>167.45451789829414</v>
      </c>
      <c r="L30" s="763">
        <f>(H23/H8*BF49)</f>
        <v>-84.154517898294159</v>
      </c>
      <c r="M30" s="761" t="s">
        <v>168</v>
      </c>
      <c r="N30" s="43"/>
      <c r="O30" s="794"/>
    </row>
    <row r="31" spans="1:15" ht="20" hidden="1" x14ac:dyDescent="0.2">
      <c r="A31" s="43"/>
      <c r="B31" s="14"/>
      <c r="C31" s="49"/>
      <c r="D31" s="50"/>
      <c r="E31" s="14"/>
      <c r="F31" s="46"/>
      <c r="G31" s="799"/>
      <c r="H31" s="47"/>
      <c r="I31" s="43"/>
      <c r="J31" s="764"/>
      <c r="K31" s="764">
        <f>ABS($H$1/K30)</f>
        <v>107.49187436634318</v>
      </c>
      <c r="L31" s="764">
        <f>ABS($H$1/L30)</f>
        <v>213.89225973291289</v>
      </c>
      <c r="M31" s="766" t="s">
        <v>167</v>
      </c>
      <c r="N31" s="43"/>
      <c r="O31" s="794"/>
    </row>
    <row r="32" spans="1:15" ht="30" hidden="1" x14ac:dyDescent="0.3">
      <c r="A32" s="43"/>
      <c r="B32" s="51"/>
      <c r="D32" s="46"/>
      <c r="E32" s="52"/>
      <c r="F32" s="46"/>
      <c r="G32" s="799"/>
      <c r="H32" s="47"/>
      <c r="I32" s="43"/>
      <c r="J32" s="1045"/>
      <c r="K32" s="1045"/>
      <c r="L32" s="1045">
        <f>ABS($E$8/BF49)*2</f>
        <v>192.07683073229293</v>
      </c>
      <c r="M32" s="1046" t="s">
        <v>308</v>
      </c>
      <c r="N32" s="1052" t="s">
        <v>309</v>
      </c>
      <c r="O32" s="794"/>
    </row>
    <row r="33" spans="1:56" ht="19" hidden="1" thickBot="1" x14ac:dyDescent="0.25">
      <c r="A33" s="43"/>
      <c r="B33" s="1096"/>
      <c r="C33" s="1097"/>
      <c r="D33" s="1097"/>
      <c r="E33" s="1097"/>
      <c r="F33" s="46"/>
      <c r="G33" s="799"/>
      <c r="H33" s="47"/>
      <c r="I33" s="43"/>
      <c r="J33" s="43"/>
      <c r="K33" s="43"/>
      <c r="L33" s="43"/>
      <c r="M33" s="43"/>
      <c r="N33" s="43"/>
      <c r="O33" s="794"/>
    </row>
    <row r="34" spans="1:56" ht="21" hidden="1" thickBot="1" x14ac:dyDescent="0.25">
      <c r="A34" s="43"/>
      <c r="D34" s="24"/>
      <c r="E34" s="24"/>
      <c r="F34" s="46"/>
      <c r="G34" s="799"/>
      <c r="H34" s="47"/>
      <c r="I34" s="783">
        <v>61</v>
      </c>
      <c r="J34" s="1047" t="s">
        <v>200</v>
      </c>
      <c r="K34" s="1054"/>
      <c r="L34" s="1054"/>
      <c r="M34" s="1054"/>
      <c r="N34" s="43"/>
      <c r="O34" s="794"/>
    </row>
    <row r="35" spans="1:56" ht="20" hidden="1" x14ac:dyDescent="0.2">
      <c r="A35" s="43"/>
      <c r="D35" s="24"/>
      <c r="E35" s="24"/>
      <c r="F35" s="46"/>
      <c r="G35" s="799"/>
      <c r="H35" s="47"/>
      <c r="I35" s="43"/>
      <c r="J35" s="761" t="s">
        <v>162</v>
      </c>
      <c r="K35" s="761" t="s">
        <v>170</v>
      </c>
      <c r="L35" s="761"/>
      <c r="M35" s="924"/>
      <c r="N35" s="43"/>
      <c r="O35" s="794"/>
    </row>
    <row r="36" spans="1:56" ht="20" hidden="1" x14ac:dyDescent="0.2">
      <c r="A36" s="43"/>
      <c r="D36" s="24"/>
      <c r="E36" s="24"/>
      <c r="F36" s="46"/>
      <c r="G36" s="799"/>
      <c r="H36" s="47"/>
      <c r="I36" s="43"/>
      <c r="J36" s="763">
        <f>+H16/H8*BF49</f>
        <v>17.514517898294155</v>
      </c>
      <c r="K36" s="763">
        <f>((H8-H16)/H8)*BF49</f>
        <v>65.785482101705853</v>
      </c>
      <c r="L36" s="763"/>
      <c r="M36" s="761" t="s">
        <v>168</v>
      </c>
      <c r="N36" s="43"/>
      <c r="O36" s="794"/>
    </row>
    <row r="37" spans="1:56" ht="20" hidden="1" x14ac:dyDescent="0.2">
      <c r="A37" s="43"/>
      <c r="B37" s="53"/>
      <c r="C37" s="54"/>
      <c r="D37" s="53"/>
      <c r="E37" s="53"/>
      <c r="F37" s="46"/>
      <c r="G37" s="799"/>
      <c r="H37" s="47"/>
      <c r="I37" s="43"/>
      <c r="J37" s="764">
        <f>ABS($H$1/J36)</f>
        <v>1027.7188389954558</v>
      </c>
      <c r="K37" s="764">
        <f>ABS($H$1/K36)</f>
        <v>273.6166008812034</v>
      </c>
      <c r="L37" s="764"/>
      <c r="M37" s="766" t="s">
        <v>167</v>
      </c>
      <c r="N37" s="43"/>
      <c r="O37" s="794"/>
    </row>
    <row r="38" spans="1:56" ht="20" hidden="1" x14ac:dyDescent="0.2">
      <c r="A38" s="43"/>
      <c r="B38" s="53"/>
      <c r="C38" s="54"/>
      <c r="D38" s="53"/>
      <c r="E38" s="53"/>
      <c r="F38" s="46"/>
      <c r="G38" s="799"/>
      <c r="H38" s="47"/>
      <c r="I38" s="43"/>
      <c r="J38" s="1045">
        <f>ABS($E$8/BF49)*2</f>
        <v>192.07683073229293</v>
      </c>
      <c r="K38" s="1045"/>
      <c r="L38" s="1045"/>
      <c r="M38" s="1046" t="s">
        <v>308</v>
      </c>
      <c r="N38" s="1052" t="s">
        <v>309</v>
      </c>
      <c r="O38" s="794"/>
    </row>
    <row r="39" spans="1:56" ht="18" hidden="1" x14ac:dyDescent="0.2">
      <c r="A39" s="43"/>
      <c r="B39" s="55"/>
      <c r="C39" s="54"/>
      <c r="D39" s="55"/>
      <c r="E39" s="56"/>
      <c r="F39" s="46"/>
      <c r="G39" s="927"/>
      <c r="H39" s="43"/>
      <c r="I39" s="43"/>
      <c r="J39" s="43"/>
      <c r="K39" s="43"/>
      <c r="L39" s="43"/>
      <c r="M39" s="43"/>
      <c r="N39" s="43"/>
      <c r="O39" s="794"/>
    </row>
    <row r="40" spans="1:56" ht="20" hidden="1" x14ac:dyDescent="0.2">
      <c r="A40" s="43"/>
      <c r="B40" s="53"/>
      <c r="C40" s="54"/>
      <c r="D40" s="53"/>
      <c r="E40" s="15"/>
      <c r="F40" s="46"/>
      <c r="G40" s="927"/>
      <c r="H40" s="43"/>
      <c r="I40" s="43"/>
      <c r="J40" s="1047" t="s">
        <v>201</v>
      </c>
      <c r="K40" s="1054"/>
      <c r="L40" s="1054"/>
      <c r="M40" s="1054"/>
      <c r="N40" s="43"/>
      <c r="O40" s="794"/>
    </row>
    <row r="41" spans="1:56" ht="20" hidden="1" x14ac:dyDescent="0.2">
      <c r="A41" s="43"/>
      <c r="B41" s="44"/>
      <c r="C41" s="45"/>
      <c r="D41" s="46"/>
      <c r="E41" s="46"/>
      <c r="F41" s="46"/>
      <c r="G41" s="927"/>
      <c r="H41" s="800" t="s">
        <v>195</v>
      </c>
      <c r="I41" s="43"/>
      <c r="J41" s="761" t="s">
        <v>162</v>
      </c>
      <c r="K41" s="761" t="s">
        <v>170</v>
      </c>
      <c r="L41" s="771" t="s">
        <v>187</v>
      </c>
      <c r="M41" s="924"/>
      <c r="N41" s="43"/>
      <c r="O41" s="794"/>
    </row>
    <row r="42" spans="1:56" ht="24" hidden="1" thickBot="1" x14ac:dyDescent="0.3">
      <c r="A42" s="43"/>
      <c r="B42" s="44"/>
      <c r="C42" s="45"/>
      <c r="D42" s="46"/>
      <c r="E42" s="46"/>
      <c r="F42" s="46"/>
      <c r="G42" s="801" t="s">
        <v>190</v>
      </c>
      <c r="H42" s="802">
        <f>SUM(BF123:BP123)</f>
        <v>6</v>
      </c>
      <c r="I42" s="43"/>
      <c r="J42" s="763">
        <f>+H43/H8*BF49/2</f>
        <v>91.63000000000001</v>
      </c>
      <c r="K42" s="763">
        <f>((H8-H43)/H8)*BF49/2</f>
        <v>-49.98</v>
      </c>
      <c r="L42" s="763">
        <f>+BF49/2</f>
        <v>41.65</v>
      </c>
      <c r="M42" s="761" t="s">
        <v>168</v>
      </c>
      <c r="N42" s="43"/>
      <c r="O42" s="794"/>
    </row>
    <row r="43" spans="1:56" ht="21" hidden="1" thickBot="1" x14ac:dyDescent="0.25">
      <c r="A43" s="43"/>
      <c r="B43" s="44"/>
      <c r="C43" s="45"/>
      <c r="D43" s="46"/>
      <c r="E43" s="46"/>
      <c r="F43" s="46"/>
      <c r="G43" s="793" t="s">
        <v>188</v>
      </c>
      <c r="H43" s="756">
        <f>$H$5-((H42-1)*$E$2)</f>
        <v>473</v>
      </c>
      <c r="I43" s="783">
        <v>62</v>
      </c>
      <c r="J43" s="764">
        <f>ABS($H$1/J42)</f>
        <v>196.44221324893593</v>
      </c>
      <c r="K43" s="764">
        <f>ABS($H$1/K42)</f>
        <v>360.14405762304926</v>
      </c>
      <c r="L43" s="764">
        <f>ABS($H$1/L42)</f>
        <v>432.17286914765907</v>
      </c>
      <c r="M43" s="766" t="s">
        <v>167</v>
      </c>
      <c r="N43" s="43"/>
      <c r="O43" s="794"/>
    </row>
    <row r="44" spans="1:56" ht="20" hidden="1" x14ac:dyDescent="0.2">
      <c r="A44" s="43"/>
      <c r="B44" s="44"/>
      <c r="C44" s="45"/>
      <c r="D44" s="46"/>
      <c r="E44" s="46"/>
      <c r="F44" s="46"/>
      <c r="G44" s="799"/>
      <c r="H44" s="47"/>
      <c r="I44" s="43"/>
      <c r="J44" s="1045"/>
      <c r="K44" s="1045"/>
      <c r="L44" s="1045">
        <f>ABS($E$8/BF49)*2</f>
        <v>192.07683073229293</v>
      </c>
      <c r="M44" s="1046" t="s">
        <v>308</v>
      </c>
      <c r="N44" s="1052" t="s">
        <v>309</v>
      </c>
      <c r="O44" s="794"/>
    </row>
    <row r="45" spans="1:56" ht="18" hidden="1" x14ac:dyDescent="0.2">
      <c r="A45" s="43"/>
      <c r="B45" s="44"/>
      <c r="C45" s="45"/>
      <c r="D45" s="46"/>
      <c r="E45" s="46"/>
      <c r="F45" s="46"/>
      <c r="G45" s="927"/>
      <c r="H45" s="43"/>
      <c r="I45" s="43"/>
      <c r="J45" s="43"/>
      <c r="K45" s="43"/>
      <c r="L45" s="43"/>
      <c r="M45" s="43"/>
      <c r="N45" s="43"/>
      <c r="O45" s="794"/>
    </row>
    <row r="46" spans="1:56" ht="20" hidden="1" x14ac:dyDescent="0.2">
      <c r="A46" s="43"/>
      <c r="B46" s="44"/>
      <c r="C46" s="45"/>
      <c r="D46" s="46"/>
      <c r="E46" s="46"/>
      <c r="F46" s="46"/>
      <c r="G46" s="933"/>
      <c r="H46" s="804" t="s">
        <v>195</v>
      </c>
      <c r="I46" s="43"/>
      <c r="J46" s="1047" t="s">
        <v>202</v>
      </c>
      <c r="K46" s="1054"/>
      <c r="L46" s="1054"/>
      <c r="M46" s="1054"/>
      <c r="N46" s="43"/>
      <c r="O46" s="794"/>
    </row>
    <row r="47" spans="1:56" ht="24" hidden="1" thickBot="1" x14ac:dyDescent="0.3">
      <c r="A47" s="43"/>
      <c r="D47" s="46"/>
      <c r="E47" s="46"/>
      <c r="F47" s="46"/>
      <c r="G47" s="801" t="s">
        <v>190</v>
      </c>
      <c r="H47" s="805">
        <f>SUM(CF123:CP123)</f>
        <v>0</v>
      </c>
      <c r="I47" s="43"/>
      <c r="J47" s="771" t="s">
        <v>189</v>
      </c>
      <c r="K47" s="761" t="s">
        <v>160</v>
      </c>
      <c r="L47" s="761" t="s">
        <v>161</v>
      </c>
      <c r="M47" s="924"/>
      <c r="N47" s="43"/>
      <c r="O47" s="794"/>
    </row>
    <row r="48" spans="1:56" ht="26" hidden="1" thickBot="1" x14ac:dyDescent="0.3">
      <c r="A48" s="43"/>
      <c r="D48" s="46"/>
      <c r="E48" s="46"/>
      <c r="F48" s="46"/>
      <c r="G48" s="793" t="s">
        <v>188</v>
      </c>
      <c r="H48" s="756">
        <f>($E$2*(H47-1))-$H$4</f>
        <v>-903</v>
      </c>
      <c r="I48" s="783">
        <v>63</v>
      </c>
      <c r="J48" s="763">
        <f>+BF49/2</f>
        <v>41.65</v>
      </c>
      <c r="K48" s="763">
        <f>((H8-H48)/H8)*BF49/2</f>
        <v>216.58</v>
      </c>
      <c r="L48" s="763">
        <f>+H48/H8*BF49/2</f>
        <v>-174.93</v>
      </c>
      <c r="M48" s="761" t="s">
        <v>168</v>
      </c>
      <c r="N48" s="43"/>
      <c r="O48" s="794"/>
      <c r="BD48" s="819" t="s">
        <v>206</v>
      </c>
    </row>
    <row r="49" spans="1:98" s="58" customFormat="1" ht="30.75" customHeight="1" thickBot="1" x14ac:dyDescent="0.25">
      <c r="A49" s="48"/>
      <c r="B49" s="57"/>
      <c r="C49" s="57"/>
      <c r="D49" s="47"/>
      <c r="E49" s="47"/>
      <c r="F49" s="47"/>
      <c r="G49" s="927"/>
      <c r="H49" s="43"/>
      <c r="I49" s="43"/>
      <c r="J49" s="764">
        <f>ABS($H$1/J48)</f>
        <v>432.17286914765907</v>
      </c>
      <c r="K49" s="764">
        <f>ABS($H$1/K48)</f>
        <v>83.110167143780586</v>
      </c>
      <c r="L49" s="764">
        <f>ABS($H$1/L48)</f>
        <v>102.89830217801406</v>
      </c>
      <c r="M49" s="766" t="s">
        <v>167</v>
      </c>
      <c r="N49" s="48"/>
      <c r="O49" s="809"/>
      <c r="AX49"/>
      <c r="AY49"/>
      <c r="AZ49"/>
      <c r="BA49"/>
      <c r="BB49"/>
      <c r="BC49"/>
      <c r="BD49" s="48"/>
      <c r="BE49" s="59" t="s">
        <v>23</v>
      </c>
      <c r="BF49" s="1105">
        <f>+C12</f>
        <v>83.3</v>
      </c>
      <c r="BG49" s="1105"/>
      <c r="BH49" s="60" t="s">
        <v>15</v>
      </c>
      <c r="BI49" s="60"/>
      <c r="BJ49" s="61" t="s">
        <v>304</v>
      </c>
      <c r="BK49" s="62"/>
      <c r="BL49" s="62"/>
      <c r="BM49" s="62"/>
      <c r="BN49" s="62"/>
      <c r="BO49" s="62"/>
      <c r="BP49" s="62"/>
      <c r="BQ49" s="62"/>
      <c r="BR49" s="62"/>
      <c r="BS49" s="62"/>
      <c r="BT49" s="62"/>
      <c r="BU49" s="62"/>
      <c r="BV49" s="62"/>
      <c r="BW49" s="62"/>
      <c r="BX49" s="62"/>
      <c r="BY49" s="62"/>
      <c r="BZ49" s="62"/>
      <c r="CA49" s="62"/>
      <c r="CB49" s="62"/>
      <c r="CC49" s="62"/>
      <c r="CD49" s="62"/>
      <c r="CE49" s="62"/>
      <c r="CF49" s="62"/>
      <c r="CG49" s="62"/>
      <c r="CH49" s="62"/>
      <c r="CI49" s="62"/>
      <c r="CJ49" s="62"/>
      <c r="CK49" s="62"/>
      <c r="CL49" s="62"/>
      <c r="CM49" s="62"/>
      <c r="CN49" s="62"/>
      <c r="CO49" s="62"/>
      <c r="CP49" s="62"/>
      <c r="CQ49" s="62"/>
      <c r="CR49" s="62"/>
      <c r="CS49" s="62"/>
    </row>
    <row r="50" spans="1:98" ht="43.5" customHeight="1" thickBot="1" x14ac:dyDescent="0.3">
      <c r="A50" s="43"/>
      <c r="D50" s="46"/>
      <c r="E50" s="46"/>
      <c r="F50" s="46"/>
      <c r="G50" s="927"/>
      <c r="H50" s="43"/>
      <c r="I50" s="43"/>
      <c r="J50" s="1045">
        <f>ABS($E$8/BF49)*2</f>
        <v>192.07683073229293</v>
      </c>
      <c r="K50" s="1045"/>
      <c r="L50" s="1045"/>
      <c r="M50" s="1046" t="s">
        <v>308</v>
      </c>
      <c r="N50" s="1052" t="s">
        <v>309</v>
      </c>
      <c r="O50" s="794"/>
      <c r="AS50" s="63"/>
      <c r="AT50" s="64"/>
      <c r="AU50" s="64"/>
      <c r="AV50" s="64"/>
      <c r="AW50" s="64"/>
      <c r="BB50" s="165" t="b">
        <f>AND(BF51&gt;0,CD51&gt;0)</f>
        <v>1</v>
      </c>
      <c r="BC50" s="752" t="str">
        <f>IF(BB50=TRUE,"","negative force at the motor")</f>
        <v/>
      </c>
      <c r="BD50" s="866" t="s">
        <v>140</v>
      </c>
      <c r="BE50" s="583" t="s">
        <v>25</v>
      </c>
      <c r="BF50" s="619" t="s">
        <v>26</v>
      </c>
      <c r="BG50" s="620"/>
      <c r="BH50" s="621"/>
      <c r="BI50" s="621"/>
      <c r="BJ50" s="621"/>
      <c r="BK50" s="621"/>
      <c r="BL50" s="621"/>
      <c r="BM50" s="621"/>
      <c r="BN50" s="621"/>
      <c r="BO50" s="621"/>
      <c r="BP50" s="621"/>
      <c r="BQ50" s="621"/>
      <c r="BR50" s="621"/>
      <c r="BS50" s="621"/>
      <c r="BT50" s="621"/>
      <c r="BU50" s="621"/>
      <c r="BV50" s="621"/>
      <c r="BW50" s="621"/>
      <c r="BX50" s="622"/>
      <c r="BY50" s="623"/>
      <c r="BZ50" s="624"/>
      <c r="CA50" s="624"/>
      <c r="CB50" s="624"/>
      <c r="CC50" s="624"/>
      <c r="CD50" s="620"/>
      <c r="CE50" s="625" t="s">
        <v>27</v>
      </c>
      <c r="CF50" s="1092"/>
      <c r="CG50" s="1092"/>
      <c r="CH50" s="1092"/>
      <c r="CI50" s="1092"/>
      <c r="CJ50" s="1092"/>
      <c r="CK50" s="1092"/>
      <c r="CL50" s="1092"/>
      <c r="CM50" s="1092"/>
      <c r="CN50" s="1092"/>
      <c r="CO50" s="1092"/>
      <c r="CP50" s="1093"/>
      <c r="CQ50" s="62"/>
      <c r="CR50" s="62"/>
      <c r="CS50" s="62"/>
    </row>
    <row r="51" spans="1:98" ht="43.5" customHeight="1" thickBot="1" x14ac:dyDescent="0.3">
      <c r="A51" s="43"/>
      <c r="D51" s="46"/>
      <c r="E51" s="46"/>
      <c r="F51" s="46"/>
      <c r="G51" s="927"/>
      <c r="H51" s="43"/>
      <c r="I51" s="43"/>
      <c r="J51" s="43"/>
      <c r="K51" s="43"/>
      <c r="L51" s="43"/>
      <c r="M51" s="43"/>
      <c r="N51" s="43"/>
      <c r="O51" s="935"/>
      <c r="AR51" s="1106"/>
      <c r="AS51" s="1106"/>
      <c r="AT51" s="64"/>
      <c r="AU51" s="64"/>
      <c r="AV51" s="64"/>
      <c r="AW51" s="64"/>
      <c r="BA51" s="767">
        <v>1</v>
      </c>
      <c r="BB51" s="165" t="b">
        <f>AND(BD51&gt;=10,$AN$138&gt;=10,$AO$138&gt;=10)</f>
        <v>1</v>
      </c>
      <c r="BC51" s="67" t="str">
        <f>IF(BB51=TRUE,"O K","OVERLOAD")</f>
        <v>O K</v>
      </c>
      <c r="BD51" s="781">
        <f>+MIN(J7:L8)</f>
        <v>160.61323282172489</v>
      </c>
      <c r="BE51" s="584" t="s">
        <v>134</v>
      </c>
      <c r="BF51" s="1100">
        <f>+((D4-D5)/D4)*C12</f>
        <v>33.490903579658834</v>
      </c>
      <c r="BG51" s="1101"/>
      <c r="BH51" s="626"/>
      <c r="BI51" s="626"/>
      <c r="BJ51" s="626"/>
      <c r="BK51" s="627"/>
      <c r="BL51" s="627"/>
      <c r="BM51" s="627"/>
      <c r="BN51" s="628"/>
      <c r="BO51" s="628"/>
      <c r="BP51" s="628"/>
      <c r="BQ51" s="628"/>
      <c r="BR51" s="628"/>
      <c r="BS51" s="628"/>
      <c r="BT51" s="628"/>
      <c r="BU51" s="628"/>
      <c r="BV51" s="628"/>
      <c r="BW51" s="628"/>
      <c r="BX51" s="629"/>
      <c r="BY51" s="626"/>
      <c r="BZ51" s="626"/>
      <c r="CA51" s="626"/>
      <c r="CB51" s="627"/>
      <c r="CC51" s="627"/>
      <c r="CD51" s="1090">
        <f>+(D5/D4)*C12</f>
        <v>49.80909642034117</v>
      </c>
      <c r="CE51" s="1091"/>
      <c r="CF51" s="1094"/>
      <c r="CG51" s="1094"/>
      <c r="CH51" s="1094"/>
      <c r="CI51" s="1094"/>
      <c r="CJ51" s="1094"/>
      <c r="CK51" s="1094"/>
      <c r="CL51" s="1094"/>
      <c r="CM51" s="1094"/>
      <c r="CN51" s="1094"/>
      <c r="CO51" s="1094"/>
      <c r="CP51" s="1095"/>
      <c r="CQ51" s="62"/>
      <c r="CR51" s="62"/>
      <c r="CS51" s="62"/>
      <c r="CT51" s="62"/>
    </row>
    <row r="52" spans="1:98" ht="26" thickBot="1" x14ac:dyDescent="0.3">
      <c r="D52" s="46"/>
      <c r="E52" s="46"/>
      <c r="F52" s="46"/>
      <c r="G52" s="927"/>
      <c r="H52" s="43"/>
      <c r="I52" s="43"/>
      <c r="J52" s="1047" t="s">
        <v>203</v>
      </c>
      <c r="K52" s="1054"/>
      <c r="L52" s="1054"/>
      <c r="M52" s="1054"/>
      <c r="N52" s="43"/>
      <c r="O52" s="935"/>
      <c r="AR52" s="68"/>
      <c r="AS52" s="68"/>
      <c r="AT52" s="64"/>
      <c r="AU52" s="64"/>
      <c r="AV52" s="64"/>
      <c r="AW52" s="64"/>
      <c r="BB52" s="165"/>
      <c r="BC52" s="69"/>
      <c r="BD52" s="68"/>
      <c r="BE52" s="70"/>
      <c r="BF52" s="71"/>
      <c r="BG52" s="71"/>
      <c r="BH52" s="70"/>
      <c r="BI52" s="70"/>
      <c r="BJ52" s="70"/>
      <c r="BK52" s="70"/>
      <c r="BL52" s="70"/>
      <c r="BM52" s="70"/>
      <c r="BN52" s="70"/>
      <c r="BO52" s="70"/>
      <c r="BP52" s="70"/>
      <c r="BQ52" s="70"/>
      <c r="BR52" s="70"/>
      <c r="BS52" s="70"/>
      <c r="BT52" s="70"/>
      <c r="BU52" s="70"/>
      <c r="BV52" s="70"/>
      <c r="BW52" s="70"/>
      <c r="BY52" s="60"/>
      <c r="BZ52" s="60"/>
      <c r="CA52" s="71"/>
      <c r="CB52" s="72"/>
      <c r="CC52" s="72"/>
      <c r="CD52" s="72"/>
      <c r="CE52" s="72"/>
      <c r="CF52" s="72"/>
      <c r="CG52" s="72"/>
      <c r="CH52" s="72"/>
      <c r="CI52" s="72"/>
      <c r="CJ52" s="72"/>
      <c r="CK52" s="72"/>
      <c r="CL52" s="72"/>
      <c r="CM52" s="72"/>
      <c r="CN52" s="72"/>
      <c r="CO52" s="72"/>
      <c r="CP52" s="72"/>
      <c r="CQ52" s="72"/>
      <c r="CR52" s="62"/>
      <c r="CS52" s="62"/>
      <c r="CT52" s="62"/>
    </row>
    <row r="53" spans="1:98" ht="43.5" customHeight="1" thickBot="1" x14ac:dyDescent="0.3">
      <c r="D53" s="46"/>
      <c r="E53" s="46"/>
      <c r="F53" s="46"/>
      <c r="G53" s="801" t="s">
        <v>190</v>
      </c>
      <c r="H53" s="806" t="s">
        <v>197</v>
      </c>
      <c r="I53" s="43"/>
      <c r="J53" s="771" t="s">
        <v>189</v>
      </c>
      <c r="K53" s="761"/>
      <c r="L53" s="771" t="s">
        <v>187</v>
      </c>
      <c r="M53" s="924"/>
      <c r="N53" s="43"/>
      <c r="O53" s="935"/>
      <c r="AT53" s="64"/>
      <c r="AU53" s="64"/>
      <c r="AV53" s="64"/>
      <c r="AW53" s="64"/>
      <c r="BB53" s="165" t="b">
        <f>AND(BQ54&gt;0,CO54&gt;0)</f>
        <v>1</v>
      </c>
      <c r="BC53" s="752" t="str">
        <f>IF(BB53=TRUE,"","negative force at the motor")</f>
        <v/>
      </c>
      <c r="BD53" s="866" t="s">
        <v>140</v>
      </c>
      <c r="BE53" s="585" t="s">
        <v>25</v>
      </c>
      <c r="BF53" s="1102"/>
      <c r="BG53" s="1092"/>
      <c r="BH53" s="1092"/>
      <c r="BI53" s="1092"/>
      <c r="BJ53" s="1092"/>
      <c r="BK53" s="1092"/>
      <c r="BL53" s="1092"/>
      <c r="BM53" s="1092"/>
      <c r="BN53" s="1092"/>
      <c r="BO53" s="1092"/>
      <c r="BP53" s="1092"/>
      <c r="BQ53" s="615" t="s">
        <v>26</v>
      </c>
      <c r="BR53" s="617"/>
      <c r="BS53" s="604"/>
      <c r="BT53" s="604"/>
      <c r="BU53" s="604"/>
      <c r="BV53" s="604"/>
      <c r="BW53" s="604"/>
      <c r="BX53" s="604"/>
      <c r="BY53" s="604"/>
      <c r="BZ53" s="604"/>
      <c r="CA53" s="604"/>
      <c r="CB53" s="604"/>
      <c r="CC53" s="605"/>
      <c r="CD53" s="606"/>
      <c r="CE53" s="606"/>
      <c r="CF53" s="606"/>
      <c r="CG53" s="606"/>
      <c r="CH53" s="607"/>
      <c r="CI53" s="607"/>
      <c r="CJ53" s="605"/>
      <c r="CK53" s="605"/>
      <c r="CL53" s="605"/>
      <c r="CM53" s="605"/>
      <c r="CN53" s="605"/>
      <c r="CO53" s="608"/>
      <c r="CP53" s="609" t="s">
        <v>27</v>
      </c>
      <c r="CQ53" s="73"/>
      <c r="CR53" s="62"/>
      <c r="CS53" s="62"/>
      <c r="CT53" s="62"/>
    </row>
    <row r="54" spans="1:98" ht="43.5" customHeight="1" thickBot="1" x14ac:dyDescent="0.3">
      <c r="D54" s="46"/>
      <c r="E54" s="46"/>
      <c r="F54" s="46"/>
      <c r="G54" s="793" t="s">
        <v>188</v>
      </c>
      <c r="H54" s="756"/>
      <c r="I54" s="783">
        <v>64</v>
      </c>
      <c r="J54" s="763">
        <f>+((H6-D3)/H6)*BF49</f>
        <v>59.805184963676481</v>
      </c>
      <c r="K54" s="763"/>
      <c r="L54" s="763">
        <f>+(D3/H6)*BF49</f>
        <v>23.494815036323512</v>
      </c>
      <c r="M54" s="761" t="s">
        <v>168</v>
      </c>
      <c r="N54" s="43"/>
      <c r="O54" s="935"/>
      <c r="BA54" s="767">
        <v>2</v>
      </c>
      <c r="BB54" s="165" t="b">
        <f>AND(BD54&gt;=10,$AN$138&gt;=10,$AO$138&gt;=10)</f>
        <v>1</v>
      </c>
      <c r="BC54" s="67" t="str">
        <f>IF(BB54=TRUE,"O K","OVERLOAD")</f>
        <v>O K</v>
      </c>
      <c r="BD54" s="781">
        <f>+MIN(J13:L14)</f>
        <v>114.05287765019138</v>
      </c>
      <c r="BE54" s="586" t="s">
        <v>111</v>
      </c>
      <c r="BF54" s="1103"/>
      <c r="BG54" s="1094"/>
      <c r="BH54" s="1094"/>
      <c r="BI54" s="1094"/>
      <c r="BJ54" s="1094"/>
      <c r="BK54" s="1094"/>
      <c r="BL54" s="1094"/>
      <c r="BM54" s="1094"/>
      <c r="BN54" s="1094"/>
      <c r="BO54" s="1094"/>
      <c r="BP54" s="1094"/>
      <c r="BQ54" s="616">
        <f>+((D4-D3)/D4)*C12</f>
        <v>70.142903579658835</v>
      </c>
      <c r="BR54" s="618"/>
      <c r="BS54" s="610"/>
      <c r="BT54" s="610"/>
      <c r="BU54" s="610"/>
      <c r="BV54" s="610"/>
      <c r="BW54" s="610"/>
      <c r="BX54" s="610"/>
      <c r="BY54" s="610"/>
      <c r="BZ54" s="610"/>
      <c r="CA54" s="610"/>
      <c r="CB54" s="610"/>
      <c r="CC54" s="611"/>
      <c r="CD54" s="612"/>
      <c r="CE54" s="612"/>
      <c r="CF54" s="612"/>
      <c r="CG54" s="612"/>
      <c r="CH54" s="613"/>
      <c r="CI54" s="613"/>
      <c r="CJ54" s="614"/>
      <c r="CK54" s="614"/>
      <c r="CL54" s="614"/>
      <c r="CM54" s="614"/>
      <c r="CN54" s="614"/>
      <c r="CO54" s="1088">
        <f>+(D3/D4)*C12</f>
        <v>13.157096420341167</v>
      </c>
      <c r="CP54" s="1089"/>
      <c r="CQ54" s="75"/>
      <c r="CR54" s="62"/>
      <c r="CS54" s="62"/>
      <c r="CT54" s="62"/>
    </row>
    <row r="55" spans="1:98" ht="24" thickBot="1" x14ac:dyDescent="0.3">
      <c r="D55" s="46"/>
      <c r="E55" s="46"/>
      <c r="F55" s="46"/>
      <c r="G55" s="799"/>
      <c r="H55" s="47"/>
      <c r="I55" s="43"/>
      <c r="J55" s="764">
        <f>ABS($H$1/J54)</f>
        <v>300.97724822576089</v>
      </c>
      <c r="K55" s="764"/>
      <c r="L55" s="764">
        <f>ABS($H$1/L54)</f>
        <v>766.12648246736978</v>
      </c>
      <c r="M55" s="766" t="s">
        <v>167</v>
      </c>
      <c r="N55" s="43"/>
      <c r="O55" s="935"/>
      <c r="BB55" s="165"/>
      <c r="BC55" s="69"/>
      <c r="BD55" s="11"/>
      <c r="BE55" s="76"/>
      <c r="BF55" s="76"/>
      <c r="BG55" s="76"/>
      <c r="BH55" s="76"/>
      <c r="BI55" s="76"/>
      <c r="BJ55" s="76"/>
      <c r="BK55" s="76"/>
      <c r="BL55" s="76"/>
      <c r="BM55" s="76"/>
      <c r="BN55" s="77"/>
      <c r="BO55" s="77"/>
      <c r="BP55" s="72"/>
      <c r="BQ55" s="72"/>
      <c r="BR55" s="72"/>
      <c r="BS55" s="72"/>
      <c r="BT55" s="72"/>
      <c r="BU55" s="72"/>
      <c r="BV55" s="72"/>
      <c r="BW55" s="72"/>
      <c r="BX55" s="72"/>
      <c r="BY55" s="72"/>
      <c r="BZ55" s="72"/>
      <c r="CA55" s="72"/>
      <c r="CB55" s="72"/>
      <c r="CC55" s="26"/>
      <c r="CD55" s="78"/>
      <c r="CE55" s="78"/>
      <c r="CF55" s="78"/>
      <c r="CG55" s="78"/>
      <c r="CH55" s="75"/>
      <c r="CI55" s="75"/>
      <c r="CJ55" s="75"/>
      <c r="CK55" s="75"/>
      <c r="CL55" s="75"/>
      <c r="CM55" s="75"/>
      <c r="CN55" s="75"/>
      <c r="CO55" s="75"/>
      <c r="CP55" s="75"/>
      <c r="CQ55" s="75"/>
      <c r="CR55" s="62"/>
      <c r="CS55" s="62"/>
      <c r="CT55" s="62"/>
    </row>
    <row r="56" spans="1:98" ht="43.5" customHeight="1" thickBot="1" x14ac:dyDescent="0.25">
      <c r="D56" s="46"/>
      <c r="E56" s="46"/>
      <c r="F56" s="46"/>
      <c r="G56" s="799"/>
      <c r="H56" s="47"/>
      <c r="I56" s="48"/>
      <c r="J56" s="1045">
        <f>ABS($E$8/BF49)*2</f>
        <v>192.07683073229293</v>
      </c>
      <c r="K56" s="1045"/>
      <c r="L56" s="1045"/>
      <c r="M56" s="1046" t="s">
        <v>308</v>
      </c>
      <c r="N56" s="1052" t="s">
        <v>309</v>
      </c>
      <c r="O56" s="935"/>
      <c r="BB56" s="165" t="b">
        <f>AND(BQ57&gt;0,CF57&gt;0)</f>
        <v>1</v>
      </c>
      <c r="BC56" s="752" t="str">
        <f>IF(BB56=TRUE,"","negative force at the motor")</f>
        <v/>
      </c>
      <c r="BD56" s="866" t="s">
        <v>140</v>
      </c>
      <c r="BE56" s="587" t="s">
        <v>25</v>
      </c>
      <c r="BF56" s="1102"/>
      <c r="BG56" s="1092"/>
      <c r="BH56" s="1092"/>
      <c r="BI56" s="1092"/>
      <c r="BJ56" s="1092"/>
      <c r="BK56" s="1092"/>
      <c r="BL56" s="1092"/>
      <c r="BM56" s="1092"/>
      <c r="BN56" s="1092"/>
      <c r="BO56" s="1092"/>
      <c r="BP56" s="1092"/>
      <c r="BQ56" s="709" t="s">
        <v>26</v>
      </c>
      <c r="BR56" s="710"/>
      <c r="BS56" s="719"/>
      <c r="BT56" s="719"/>
      <c r="BU56" s="719"/>
      <c r="BV56" s="719"/>
      <c r="BW56" s="719"/>
      <c r="BX56" s="720"/>
      <c r="BY56" s="721"/>
      <c r="BZ56" s="722"/>
      <c r="CA56" s="722"/>
      <c r="CB56" s="721"/>
      <c r="CC56" s="721"/>
      <c r="CD56" s="721"/>
      <c r="CE56" s="721"/>
      <c r="CF56" s="710"/>
      <c r="CG56" s="713" t="s">
        <v>27</v>
      </c>
      <c r="CH56" s="1092"/>
      <c r="CI56" s="1092"/>
      <c r="CJ56" s="1092"/>
      <c r="CK56" s="1092"/>
      <c r="CL56" s="1092"/>
      <c r="CM56" s="1092"/>
      <c r="CN56" s="1092"/>
      <c r="CO56" s="1092"/>
      <c r="CP56" s="1093"/>
      <c r="CQ56" s="72"/>
      <c r="CR56" s="62"/>
      <c r="CS56" s="62"/>
      <c r="CT56" s="62"/>
    </row>
    <row r="57" spans="1:98" ht="43.5" customHeight="1" thickBot="1" x14ac:dyDescent="0.3">
      <c r="D57" s="46"/>
      <c r="E57" s="46"/>
      <c r="F57" s="46"/>
      <c r="G57" s="927"/>
      <c r="H57" s="43"/>
      <c r="I57" s="43"/>
      <c r="J57" s="43"/>
      <c r="K57" s="43"/>
      <c r="L57" s="43"/>
      <c r="M57" s="43"/>
      <c r="N57" s="43"/>
      <c r="O57" s="935"/>
      <c r="BA57" s="767">
        <v>3</v>
      </c>
      <c r="BB57" s="165" t="b">
        <f>AND(BD57&gt;=10,$AN$138&gt;=10,$AO$138&gt;=10)</f>
        <v>1</v>
      </c>
      <c r="BC57" s="67" t="str">
        <f>IF(BB57=TRUE,"O K","OVERLOAD")</f>
        <v>O K</v>
      </c>
      <c r="BD57" s="782">
        <f>+$E$8/(MAX(CF57,BQ57))</f>
        <v>127.50622074942861</v>
      </c>
      <c r="BE57" s="588" t="s">
        <v>108</v>
      </c>
      <c r="BF57" s="1103"/>
      <c r="BG57" s="1094"/>
      <c r="BH57" s="1094"/>
      <c r="BI57" s="1094"/>
      <c r="BJ57" s="1094"/>
      <c r="BK57" s="1094"/>
      <c r="BL57" s="1094"/>
      <c r="BM57" s="1094"/>
      <c r="BN57" s="1094"/>
      <c r="BO57" s="1094"/>
      <c r="BP57" s="1094"/>
      <c r="BQ57" s="1098">
        <f>+((D2-D3)/D2)*C12</f>
        <v>62.742036843216923</v>
      </c>
      <c r="BR57" s="1099"/>
      <c r="BS57" s="723"/>
      <c r="BT57" s="723"/>
      <c r="BU57" s="723"/>
      <c r="BV57" s="723"/>
      <c r="BW57" s="723"/>
      <c r="BX57" s="724"/>
      <c r="BY57" s="725"/>
      <c r="BZ57" s="726"/>
      <c r="CA57" s="726"/>
      <c r="CB57" s="727"/>
      <c r="CC57" s="727"/>
      <c r="CD57" s="727"/>
      <c r="CE57" s="727"/>
      <c r="CF57" s="1086">
        <f>+(D3/D2)*C12</f>
        <v>20.557963156783071</v>
      </c>
      <c r="CG57" s="1087"/>
      <c r="CH57" s="1094"/>
      <c r="CI57" s="1094"/>
      <c r="CJ57" s="1094"/>
      <c r="CK57" s="1094"/>
      <c r="CL57" s="1094"/>
      <c r="CM57" s="1094"/>
      <c r="CN57" s="1094"/>
      <c r="CO57" s="1094"/>
      <c r="CP57" s="1095"/>
      <c r="CQ57" s="72"/>
      <c r="CR57" s="62"/>
      <c r="CS57" s="62"/>
      <c r="CT57" s="62"/>
    </row>
    <row r="58" spans="1:98" ht="23" hidden="1" x14ac:dyDescent="0.25">
      <c r="G58" s="927"/>
      <c r="H58" s="43"/>
      <c r="I58" s="43"/>
      <c r="J58" s="43"/>
      <c r="K58" s="43"/>
      <c r="L58" s="43"/>
      <c r="M58" s="43"/>
      <c r="N58" s="43"/>
      <c r="O58" s="935"/>
      <c r="BB58" s="165"/>
      <c r="BC58" s="69"/>
      <c r="BD58" s="11"/>
      <c r="BE58" s="76"/>
      <c r="BF58" s="76"/>
      <c r="BG58" s="76"/>
      <c r="BH58" s="76"/>
      <c r="BI58" s="76"/>
      <c r="BJ58" s="76"/>
      <c r="BK58" s="76"/>
      <c r="BL58" s="76"/>
      <c r="BM58" s="76"/>
      <c r="BN58" s="77"/>
      <c r="BO58" s="77"/>
      <c r="BP58" s="72"/>
      <c r="BQ58" s="72"/>
      <c r="BR58" s="72"/>
      <c r="BS58" s="72"/>
      <c r="BT58" s="72"/>
      <c r="BU58" s="72"/>
      <c r="BV58" s="72"/>
      <c r="BW58" s="72"/>
      <c r="BX58" s="72"/>
      <c r="BY58" s="72"/>
      <c r="BZ58" s="76"/>
      <c r="CA58" s="72"/>
      <c r="CB58" s="72"/>
      <c r="CC58" s="26"/>
      <c r="CD58" s="78"/>
      <c r="CE58" s="78"/>
      <c r="CF58" s="78"/>
      <c r="CG58" s="78"/>
      <c r="CH58" s="75"/>
      <c r="CI58" s="75"/>
      <c r="CJ58" s="75"/>
      <c r="CK58" s="75"/>
      <c r="CL58" s="75"/>
      <c r="CM58" s="75"/>
      <c r="CN58" s="75"/>
      <c r="CO58" s="75"/>
      <c r="CP58" s="75"/>
      <c r="CQ58" s="75"/>
      <c r="CR58" s="62"/>
      <c r="CS58" s="62"/>
      <c r="CT58" s="62"/>
    </row>
    <row r="59" spans="1:98" ht="20" hidden="1" x14ac:dyDescent="0.2">
      <c r="G59" s="927"/>
      <c r="H59" s="43"/>
      <c r="I59" s="43"/>
      <c r="J59" s="43"/>
      <c r="K59" s="43"/>
      <c r="L59" s="43"/>
      <c r="M59" s="43"/>
      <c r="N59" s="43"/>
      <c r="O59" s="935"/>
      <c r="T59" s="109"/>
      <c r="U59" s="109"/>
      <c r="V59" s="109"/>
      <c r="W59" s="109"/>
      <c r="X59" s="109"/>
      <c r="Y59" s="109"/>
      <c r="Z59" s="109"/>
      <c r="AA59" s="109"/>
      <c r="AB59" s="109"/>
      <c r="AC59" s="109"/>
      <c r="AD59" s="109"/>
      <c r="AE59" s="109"/>
      <c r="AF59" s="109"/>
      <c r="AG59" s="109"/>
      <c r="AH59" s="109"/>
      <c r="AI59" s="109"/>
      <c r="AJ59" s="109"/>
      <c r="AK59" s="109"/>
      <c r="AL59" s="109"/>
      <c r="AM59" s="109"/>
      <c r="AN59" s="109"/>
      <c r="AO59" s="109"/>
      <c r="AQ59" s="126"/>
      <c r="AR59" s="127"/>
      <c r="AS59" s="127"/>
      <c r="AT59" s="119"/>
      <c r="AU59" s="119"/>
      <c r="AV59" s="119"/>
      <c r="AW59" s="119"/>
      <c r="BB59" s="165"/>
      <c r="BC59" s="69"/>
    </row>
    <row r="60" spans="1:98" ht="20" hidden="1" x14ac:dyDescent="0.2">
      <c r="G60" s="927"/>
      <c r="H60" s="43"/>
      <c r="I60" s="43"/>
      <c r="J60" s="43"/>
      <c r="K60" s="43"/>
      <c r="L60" s="43"/>
      <c r="M60" s="43"/>
      <c r="N60" s="43"/>
      <c r="O60" s="935"/>
      <c r="T60" s="109"/>
      <c r="U60" s="109"/>
      <c r="V60" s="109"/>
      <c r="W60" s="109"/>
      <c r="X60" s="109"/>
      <c r="Y60" s="109"/>
      <c r="Z60" s="109"/>
      <c r="AA60" s="109"/>
      <c r="AB60" s="109"/>
      <c r="AC60" s="109"/>
      <c r="AD60" s="109"/>
      <c r="AE60" s="109"/>
      <c r="AF60" s="109"/>
      <c r="AG60" s="109"/>
      <c r="AH60" s="109"/>
      <c r="AI60" s="109"/>
      <c r="AJ60" s="109"/>
      <c r="AK60" s="109"/>
      <c r="AL60" s="109"/>
      <c r="AM60" s="109"/>
      <c r="AN60" s="109"/>
      <c r="AO60" s="109"/>
      <c r="AQ60" s="126"/>
      <c r="AR60" s="127"/>
      <c r="AS60" s="127"/>
      <c r="AT60" s="119"/>
      <c r="AU60" s="119"/>
      <c r="AV60" s="119"/>
      <c r="AW60" s="119"/>
      <c r="BB60" s="165"/>
      <c r="BC60" s="69"/>
    </row>
    <row r="61" spans="1:98" ht="23" hidden="1" x14ac:dyDescent="0.25">
      <c r="G61" s="927"/>
      <c r="H61" s="43"/>
      <c r="I61" s="43"/>
      <c r="J61" s="43"/>
      <c r="K61" s="43"/>
      <c r="L61" s="43"/>
      <c r="M61" s="43"/>
      <c r="N61" s="43"/>
      <c r="O61" s="935"/>
      <c r="T61" s="109"/>
      <c r="U61" s="109"/>
      <c r="V61" s="109"/>
      <c r="W61" s="109"/>
      <c r="X61" s="109"/>
      <c r="Y61" s="109"/>
      <c r="Z61" s="109"/>
      <c r="AA61" s="109"/>
      <c r="AB61" s="109"/>
      <c r="AC61" s="109"/>
      <c r="AD61" s="109"/>
      <c r="AE61" s="109"/>
      <c r="AF61" s="109"/>
      <c r="AG61" s="109"/>
      <c r="AH61" s="109"/>
      <c r="AI61" s="109"/>
      <c r="AJ61" s="109"/>
      <c r="AK61" s="109"/>
      <c r="AL61" s="109"/>
      <c r="AM61" s="109"/>
      <c r="AN61" s="109"/>
      <c r="AO61" s="109"/>
      <c r="AQ61" s="126"/>
      <c r="AR61" s="127"/>
      <c r="AS61" s="127"/>
      <c r="AT61" s="119"/>
      <c r="AU61" s="119"/>
      <c r="AV61" s="119"/>
      <c r="AW61" s="119"/>
      <c r="BB61" s="165"/>
      <c r="BC61" s="69"/>
      <c r="BD61" s="10"/>
      <c r="BE61" s="160"/>
      <c r="BF61" s="161"/>
      <c r="BG61" s="161"/>
      <c r="BH61" s="161"/>
      <c r="BI61" s="161"/>
      <c r="BJ61" s="161"/>
      <c r="BK61" s="161"/>
      <c r="BL61" s="161"/>
      <c r="BM61" s="161"/>
      <c r="BN61" s="162"/>
      <c r="BO61" s="162"/>
      <c r="BP61" s="163"/>
      <c r="BQ61" s="163"/>
      <c r="BR61" s="163"/>
      <c r="BS61" s="163"/>
      <c r="BT61" s="163"/>
      <c r="BU61" s="163"/>
      <c r="BV61" s="163"/>
      <c r="BW61" s="163"/>
      <c r="BX61" s="26"/>
      <c r="BY61" s="72"/>
      <c r="BZ61" s="164"/>
      <c r="CA61" s="164"/>
      <c r="CB61" s="72"/>
      <c r="CC61" s="72"/>
      <c r="CD61" s="72"/>
      <c r="CE61" s="72"/>
      <c r="CF61" s="72"/>
      <c r="CG61" s="72"/>
      <c r="CH61" s="72"/>
      <c r="CI61" s="72"/>
      <c r="CJ61" s="72"/>
      <c r="CK61" s="72"/>
      <c r="CL61" s="161"/>
      <c r="CM61" s="161"/>
      <c r="CN61" s="161"/>
      <c r="CO61" s="161"/>
      <c r="CP61" s="161"/>
      <c r="CQ61" s="161"/>
      <c r="CR61" s="161"/>
      <c r="CS61" s="161"/>
      <c r="CT61" s="161"/>
    </row>
    <row r="62" spans="1:98" ht="24" hidden="1" thickBot="1" x14ac:dyDescent="0.3">
      <c r="G62" s="927"/>
      <c r="H62" s="43"/>
      <c r="I62" s="43"/>
      <c r="J62" s="43"/>
      <c r="K62" s="43"/>
      <c r="L62" s="43"/>
      <c r="M62" s="43"/>
      <c r="N62" s="43"/>
      <c r="O62" s="935"/>
      <c r="T62" s="109"/>
      <c r="U62" s="109"/>
      <c r="V62" s="109"/>
      <c r="W62" s="109"/>
      <c r="X62" s="109"/>
      <c r="Y62" s="109"/>
      <c r="Z62" s="109"/>
      <c r="AA62" s="109"/>
      <c r="AB62" s="109"/>
      <c r="AC62" s="109"/>
      <c r="AD62" s="109"/>
      <c r="AE62" s="109"/>
      <c r="AF62" s="109"/>
      <c r="AG62" s="109"/>
      <c r="AH62" s="109"/>
      <c r="AI62" s="109"/>
      <c r="AJ62" s="109"/>
      <c r="AK62" s="109"/>
      <c r="AL62" s="109"/>
      <c r="AM62" s="109"/>
      <c r="AN62" s="109"/>
      <c r="AO62" s="109"/>
      <c r="AQ62" s="126"/>
      <c r="AR62" s="127"/>
      <c r="AS62" s="127"/>
      <c r="AT62" s="119"/>
      <c r="AU62" s="119"/>
      <c r="AV62" s="119"/>
      <c r="AW62" s="119"/>
      <c r="BB62" s="165"/>
      <c r="BC62" s="69"/>
      <c r="BD62" s="10"/>
      <c r="BE62" s="160"/>
      <c r="BF62" s="161"/>
      <c r="BG62" s="161"/>
      <c r="BH62" s="161"/>
      <c r="BI62" s="161"/>
      <c r="BJ62" s="161"/>
      <c r="BK62" s="161"/>
      <c r="BL62" s="161"/>
      <c r="BM62" s="161"/>
      <c r="BN62" s="162"/>
      <c r="BO62" s="162"/>
      <c r="BP62" s="163"/>
      <c r="BQ62" s="163"/>
      <c r="BR62" s="163"/>
      <c r="BS62" s="163"/>
      <c r="BT62" s="163"/>
      <c r="BU62" s="163"/>
      <c r="BV62" s="163"/>
      <c r="BW62" s="163"/>
      <c r="BX62" s="26"/>
      <c r="BY62" s="72"/>
      <c r="BZ62" s="164"/>
      <c r="CA62" s="164"/>
      <c r="CB62" s="72"/>
      <c r="CC62" s="72"/>
      <c r="CD62" s="72"/>
      <c r="CE62" s="72"/>
      <c r="CF62" s="72"/>
      <c r="CG62" s="72"/>
      <c r="CH62" s="72"/>
      <c r="CI62" s="72"/>
      <c r="CJ62" s="72"/>
      <c r="CK62" s="72"/>
      <c r="CL62" s="161"/>
      <c r="CM62" s="161"/>
      <c r="CN62" s="161"/>
      <c r="CO62" s="161"/>
      <c r="CP62" s="161"/>
      <c r="CQ62" s="161"/>
      <c r="CR62" s="161"/>
      <c r="CS62" s="161"/>
      <c r="CT62" s="161"/>
    </row>
    <row r="63" spans="1:98" ht="24" hidden="1" thickBot="1" x14ac:dyDescent="0.3">
      <c r="G63" s="927"/>
      <c r="H63" s="43"/>
      <c r="I63" s="43"/>
      <c r="J63" s="43"/>
      <c r="K63" s="43"/>
      <c r="L63" s="43"/>
      <c r="M63" s="43"/>
      <c r="N63" s="43"/>
      <c r="O63" s="935"/>
      <c r="T63" s="109"/>
      <c r="U63" s="109"/>
      <c r="V63" s="109"/>
      <c r="W63" s="109"/>
      <c r="X63" s="109"/>
      <c r="Y63" s="109"/>
      <c r="Z63" s="109"/>
      <c r="AA63" s="109"/>
      <c r="AB63" s="109"/>
      <c r="AC63" s="109"/>
      <c r="AD63" s="109"/>
      <c r="AE63" s="109"/>
      <c r="AF63" s="109"/>
      <c r="AG63" s="109"/>
      <c r="AH63" s="109"/>
      <c r="AI63" s="109"/>
      <c r="AJ63" s="109"/>
      <c r="AK63" s="109"/>
      <c r="AL63" s="109"/>
      <c r="AM63" s="109"/>
      <c r="AN63" s="109"/>
      <c r="AO63" s="109"/>
      <c r="AQ63" s="126"/>
      <c r="AR63" s="127"/>
      <c r="AS63" s="127"/>
      <c r="AT63" s="119"/>
      <c r="AU63" s="119"/>
      <c r="AV63" s="119"/>
      <c r="AW63" s="119"/>
      <c r="BB63" s="165"/>
      <c r="BC63" s="69"/>
      <c r="BD63" s="10"/>
      <c r="BE63" s="160"/>
      <c r="BF63" s="161"/>
      <c r="BG63" s="161"/>
      <c r="BH63" s="161"/>
      <c r="BI63" s="161"/>
      <c r="BJ63" s="161"/>
      <c r="BK63" s="161"/>
      <c r="BL63" s="161"/>
      <c r="BM63" s="161"/>
      <c r="BN63" s="162"/>
      <c r="BO63" s="162"/>
      <c r="BP63" s="165">
        <v>16</v>
      </c>
      <c r="BQ63" s="163"/>
      <c r="BR63" s="163"/>
      <c r="BS63" s="163"/>
      <c r="BT63" s="163"/>
      <c r="BU63" s="163"/>
      <c r="BV63" s="163"/>
      <c r="BW63" s="163"/>
      <c r="BX63" s="26"/>
      <c r="BY63" s="72"/>
      <c r="BZ63" s="164"/>
      <c r="CA63" s="164"/>
      <c r="CB63" s="72"/>
      <c r="CC63" s="72"/>
      <c r="CD63" s="72"/>
      <c r="CE63" s="100" t="b">
        <f>IF(CF81=27,15)</f>
        <v>0</v>
      </c>
      <c r="CF63" s="166"/>
      <c r="CG63" s="86" t="b">
        <f>IF(CF81=27,17)</f>
        <v>0</v>
      </c>
      <c r="CH63" s="72"/>
      <c r="CI63" s="72"/>
      <c r="CJ63" s="72"/>
      <c r="CK63" s="72"/>
      <c r="CL63" s="161"/>
      <c r="CM63" s="161"/>
      <c r="CN63" s="161"/>
      <c r="CO63" s="161"/>
      <c r="CP63" s="161"/>
      <c r="CQ63" s="161"/>
      <c r="CR63" s="161"/>
      <c r="CS63" s="161"/>
      <c r="CT63" s="161"/>
    </row>
    <row r="64" spans="1:98" ht="24" hidden="1" thickBot="1" x14ac:dyDescent="0.3">
      <c r="G64" s="927"/>
      <c r="H64" s="43"/>
      <c r="I64" s="43"/>
      <c r="J64" s="43"/>
      <c r="K64" s="43"/>
      <c r="L64" s="43"/>
      <c r="M64" s="43"/>
      <c r="N64" s="43"/>
      <c r="O64" s="935"/>
      <c r="T64" s="109"/>
      <c r="U64" s="109"/>
      <c r="V64" s="109"/>
      <c r="W64" s="109"/>
      <c r="X64" s="109"/>
      <c r="Y64" s="109"/>
      <c r="Z64" s="109"/>
      <c r="AA64" s="109"/>
      <c r="AB64" s="109"/>
      <c r="AC64" s="109"/>
      <c r="AD64" s="109"/>
      <c r="AE64" s="109"/>
      <c r="AF64" s="109"/>
      <c r="AG64" s="109"/>
      <c r="AH64" s="109"/>
      <c r="AI64" s="109"/>
      <c r="AJ64" s="109"/>
      <c r="AK64" s="109"/>
      <c r="AL64" s="109"/>
      <c r="AM64" s="109"/>
      <c r="AN64" s="109"/>
      <c r="AO64" s="109"/>
      <c r="AQ64" s="126"/>
      <c r="AR64" s="127"/>
      <c r="AS64" s="127"/>
      <c r="AT64" s="119"/>
      <c r="AU64" s="119"/>
      <c r="AV64" s="119"/>
      <c r="AW64" s="119"/>
      <c r="BB64" s="165"/>
      <c r="BC64" s="69"/>
      <c r="BD64" s="10"/>
      <c r="BE64" s="160"/>
      <c r="BF64" s="161"/>
      <c r="BG64" s="161"/>
      <c r="BH64" s="161"/>
      <c r="BI64" s="161"/>
      <c r="BJ64" s="161"/>
      <c r="BK64" s="161"/>
      <c r="BL64" s="161"/>
      <c r="BM64" s="161"/>
      <c r="BN64" s="162"/>
      <c r="BO64" s="162"/>
      <c r="BP64" s="165">
        <v>15</v>
      </c>
      <c r="BQ64" s="163"/>
      <c r="BR64" s="163"/>
      <c r="BS64" s="163"/>
      <c r="BT64" s="163"/>
      <c r="BU64" s="163"/>
      <c r="BV64" s="163"/>
      <c r="BW64" s="163"/>
      <c r="BX64" s="26"/>
      <c r="BY64" s="72"/>
      <c r="BZ64" s="164"/>
      <c r="CA64" s="164"/>
      <c r="CB64" s="72"/>
      <c r="CC64" s="100" t="b">
        <f>IF(CE81=26,13)</f>
        <v>0</v>
      </c>
      <c r="CD64" s="166"/>
      <c r="CE64" s="166"/>
      <c r="CF64" s="166"/>
      <c r="CG64" s="86" t="b">
        <f>IF(CE81=26,17)</f>
        <v>0</v>
      </c>
      <c r="CH64" s="72"/>
      <c r="CI64" s="72"/>
      <c r="CJ64" s="72"/>
      <c r="CK64" s="72"/>
      <c r="CL64" s="161"/>
      <c r="CM64" s="161"/>
      <c r="CN64" s="161"/>
      <c r="CO64" s="161"/>
      <c r="CP64" s="161"/>
      <c r="CQ64" s="161"/>
      <c r="CR64" s="161"/>
      <c r="CS64" s="161"/>
      <c r="CT64" s="161"/>
    </row>
    <row r="65" spans="2:98" ht="24" hidden="1" thickBot="1" x14ac:dyDescent="0.3">
      <c r="G65" s="927"/>
      <c r="H65" s="43"/>
      <c r="I65" s="43"/>
      <c r="J65" s="43"/>
      <c r="K65" s="43"/>
      <c r="L65" s="43"/>
      <c r="M65" s="43"/>
      <c r="N65" s="43"/>
      <c r="O65" s="935"/>
      <c r="T65" s="109"/>
      <c r="U65" s="109"/>
      <c r="V65" s="109"/>
      <c r="W65" s="109"/>
      <c r="X65" s="109"/>
      <c r="Y65" s="109"/>
      <c r="Z65" s="109"/>
      <c r="AA65" s="109"/>
      <c r="AB65" s="109"/>
      <c r="AC65" s="109"/>
      <c r="AD65" s="109"/>
      <c r="AE65" s="109"/>
      <c r="AF65" s="109"/>
      <c r="AG65" s="109"/>
      <c r="AH65" s="109"/>
      <c r="AI65" s="109"/>
      <c r="AJ65" s="109"/>
      <c r="AK65" s="109"/>
      <c r="AL65" s="109"/>
      <c r="AM65" s="109"/>
      <c r="AN65" s="109"/>
      <c r="AO65" s="109"/>
      <c r="AQ65" s="126"/>
      <c r="AR65" s="127"/>
      <c r="AS65" s="127"/>
      <c r="AT65" s="119"/>
      <c r="AU65" s="119"/>
      <c r="AV65" s="119"/>
      <c r="AW65" s="119"/>
      <c r="BB65" s="165"/>
      <c r="BC65" s="69"/>
      <c r="BD65" s="10"/>
      <c r="BE65" s="160"/>
      <c r="BF65" s="161"/>
      <c r="BG65" s="161"/>
      <c r="BH65" s="161"/>
      <c r="BI65" s="161"/>
      <c r="BJ65" s="161"/>
      <c r="BK65" s="161"/>
      <c r="BL65" s="161"/>
      <c r="BM65" s="161"/>
      <c r="BN65" s="162"/>
      <c r="BO65" s="162"/>
      <c r="BP65" s="165">
        <v>14</v>
      </c>
      <c r="BQ65" s="163"/>
      <c r="BR65" s="163"/>
      <c r="BS65" s="163"/>
      <c r="BT65" s="163"/>
      <c r="BU65" s="163"/>
      <c r="BV65" s="163"/>
      <c r="BW65" s="163"/>
      <c r="BX65" s="26"/>
      <c r="BY65" s="72"/>
      <c r="BZ65" s="164"/>
      <c r="CA65" s="100" t="b">
        <f>IF(CD81=25,11)</f>
        <v>0</v>
      </c>
      <c r="CB65" s="166"/>
      <c r="CC65" s="167"/>
      <c r="CD65" s="167"/>
      <c r="CE65" s="167"/>
      <c r="CF65" s="167"/>
      <c r="CG65" s="107" t="b">
        <f>IF(CD81=25,17)</f>
        <v>0</v>
      </c>
      <c r="CH65" s="72"/>
      <c r="CI65" s="72"/>
      <c r="CJ65" s="72"/>
      <c r="CK65" s="72"/>
      <c r="CL65" s="161"/>
      <c r="CM65" s="161"/>
      <c r="CN65" s="161"/>
      <c r="CO65" s="161"/>
      <c r="CP65" s="161"/>
      <c r="CQ65" s="161"/>
      <c r="CR65" s="161"/>
      <c r="CS65" s="161"/>
      <c r="CT65" s="161"/>
    </row>
    <row r="66" spans="2:98" ht="21" hidden="1" thickBot="1" x14ac:dyDescent="0.25">
      <c r="D66" s="47"/>
      <c r="G66" s="927"/>
      <c r="H66" s="43"/>
      <c r="I66" s="43"/>
      <c r="J66" s="43"/>
      <c r="K66" s="43"/>
      <c r="L66" s="43"/>
      <c r="M66" s="43"/>
      <c r="N66" s="43"/>
      <c r="O66" s="935"/>
      <c r="T66" s="109"/>
      <c r="U66" s="109"/>
      <c r="V66" s="109"/>
      <c r="W66" s="109"/>
      <c r="X66" s="109"/>
      <c r="Y66" s="109"/>
      <c r="Z66" s="109"/>
      <c r="AA66" s="109"/>
      <c r="AB66" s="109"/>
      <c r="AC66" s="109"/>
      <c r="AD66" s="109"/>
      <c r="AE66" s="109"/>
      <c r="AF66" s="109"/>
      <c r="AG66" s="109"/>
      <c r="AH66" s="109"/>
      <c r="AI66" s="109"/>
      <c r="AJ66" s="109"/>
      <c r="AK66" s="109"/>
      <c r="AL66" s="109"/>
      <c r="AM66" s="109"/>
      <c r="AN66" s="109"/>
      <c r="AO66" s="109"/>
      <c r="AQ66" s="126"/>
      <c r="AR66" s="127"/>
      <c r="AS66" s="127"/>
      <c r="AT66" s="119"/>
      <c r="AU66" s="119"/>
      <c r="AV66" s="119"/>
      <c r="AW66" s="119"/>
      <c r="BB66" s="165"/>
      <c r="BC66" s="69"/>
      <c r="BD66" s="863"/>
      <c r="BE66" s="160"/>
      <c r="BF66" s="161"/>
      <c r="BG66" s="161"/>
      <c r="BH66" s="161"/>
      <c r="BI66" s="161"/>
      <c r="BJ66" s="161"/>
      <c r="BK66" s="161"/>
      <c r="BL66" s="161"/>
      <c r="BM66" s="161"/>
      <c r="BP66" s="165">
        <v>13</v>
      </c>
      <c r="BQ66" s="161"/>
      <c r="BR66" s="160"/>
      <c r="BS66" s="160"/>
      <c r="BT66" s="160"/>
      <c r="BU66" s="160"/>
      <c r="BV66" s="160"/>
      <c r="BW66" s="160"/>
      <c r="BX66" s="160"/>
      <c r="BY66" s="100" t="b">
        <f>IF(CC81=24,9)</f>
        <v>0</v>
      </c>
      <c r="BZ66" s="168"/>
      <c r="CA66" s="169"/>
      <c r="CB66" s="105"/>
      <c r="CC66" s="169"/>
      <c r="CD66" s="105"/>
      <c r="CE66" s="105"/>
      <c r="CF66" s="104"/>
      <c r="CG66" s="107" t="b">
        <f>IF(CC81=24,17)</f>
        <v>0</v>
      </c>
      <c r="CH66" s="62"/>
      <c r="CI66" s="62"/>
      <c r="CJ66" s="62"/>
      <c r="CK66" s="62"/>
      <c r="CL66" s="62"/>
      <c r="CM66" s="62"/>
      <c r="CN66" s="62"/>
      <c r="CO66" s="62"/>
      <c r="CP66" s="62"/>
      <c r="CQ66" s="62"/>
      <c r="CR66" s="62"/>
      <c r="CS66" s="62"/>
    </row>
    <row r="67" spans="2:98" ht="21" hidden="1" thickBot="1" x14ac:dyDescent="0.25">
      <c r="D67" s="47"/>
      <c r="G67" s="927"/>
      <c r="H67" s="43"/>
      <c r="I67" s="43"/>
      <c r="J67" s="43"/>
      <c r="K67" s="43"/>
      <c r="L67" s="43"/>
      <c r="M67" s="43"/>
      <c r="N67" s="43"/>
      <c r="O67" s="935"/>
      <c r="T67" s="109"/>
      <c r="U67" s="109"/>
      <c r="V67" s="109"/>
      <c r="W67" s="109"/>
      <c r="X67" s="109"/>
      <c r="Y67" s="109"/>
      <c r="Z67" s="109"/>
      <c r="AA67" s="109"/>
      <c r="AB67" s="109"/>
      <c r="AC67" s="109"/>
      <c r="AD67" s="109"/>
      <c r="AE67" s="109"/>
      <c r="AF67" s="109"/>
      <c r="AG67" s="109"/>
      <c r="AH67" s="109"/>
      <c r="AI67" s="109"/>
      <c r="AJ67" s="109"/>
      <c r="AK67" s="109"/>
      <c r="AL67" s="109"/>
      <c r="AM67" s="109"/>
      <c r="AN67" s="109"/>
      <c r="AO67" s="109"/>
      <c r="AQ67" s="126"/>
      <c r="AR67" s="127"/>
      <c r="AS67" s="127"/>
      <c r="AT67" s="119"/>
      <c r="AU67" s="119"/>
      <c r="AV67" s="119"/>
      <c r="AW67" s="119"/>
      <c r="BB67" s="165"/>
      <c r="BC67" s="69"/>
      <c r="BD67" s="863"/>
      <c r="BE67" s="160"/>
      <c r="BF67" s="160"/>
      <c r="BG67" s="161"/>
      <c r="BH67" s="160"/>
      <c r="BI67" s="160"/>
      <c r="BJ67" s="160"/>
      <c r="BP67" s="165">
        <v>12</v>
      </c>
      <c r="BQ67" s="161"/>
      <c r="BR67" s="160"/>
      <c r="BS67" s="160"/>
      <c r="BT67" s="160"/>
      <c r="BU67" s="160"/>
      <c r="BV67" s="160"/>
      <c r="BW67" s="100" t="b">
        <f>IF(CB81=23,7)</f>
        <v>0</v>
      </c>
      <c r="BX67" s="168"/>
      <c r="BY67" s="168"/>
      <c r="BZ67" s="101"/>
      <c r="CA67" s="168"/>
      <c r="CB67" s="168"/>
      <c r="CC67" s="168"/>
      <c r="CD67" s="101"/>
      <c r="CE67" s="101"/>
      <c r="CF67" s="94"/>
      <c r="CG67" s="86" t="b">
        <f>IF(CB81=23,17)</f>
        <v>0</v>
      </c>
      <c r="CH67" s="62"/>
      <c r="CI67" s="62"/>
      <c r="CJ67" s="62"/>
      <c r="CK67" s="62"/>
      <c r="CL67" s="62"/>
      <c r="CM67" s="62"/>
      <c r="CN67" s="62"/>
      <c r="CO67" s="62"/>
      <c r="CP67" s="62"/>
      <c r="CQ67" s="62"/>
      <c r="CR67" s="62"/>
      <c r="CS67" s="62"/>
    </row>
    <row r="68" spans="2:98" ht="21" hidden="1" thickBot="1" x14ac:dyDescent="0.25">
      <c r="D68" s="47"/>
      <c r="G68" s="927"/>
      <c r="H68" s="43"/>
      <c r="I68" s="43"/>
      <c r="J68" s="43"/>
      <c r="K68" s="43"/>
      <c r="L68" s="43"/>
      <c r="M68" s="43"/>
      <c r="N68" s="43"/>
      <c r="O68" s="935"/>
      <c r="T68" s="109"/>
      <c r="U68" s="109"/>
      <c r="V68" s="109"/>
      <c r="W68" s="109"/>
      <c r="X68" s="109"/>
      <c r="Y68" s="109"/>
      <c r="Z68" s="109"/>
      <c r="AA68" s="109"/>
      <c r="AB68" s="109"/>
      <c r="AC68" s="109"/>
      <c r="AD68" s="109"/>
      <c r="AE68" s="109"/>
      <c r="AF68" s="109"/>
      <c r="AG68" s="109"/>
      <c r="AH68" s="109"/>
      <c r="AI68" s="109"/>
      <c r="AJ68" s="109"/>
      <c r="AK68" s="109"/>
      <c r="AL68" s="109"/>
      <c r="AM68" s="109"/>
      <c r="AN68" s="109"/>
      <c r="AO68" s="109"/>
      <c r="AQ68" s="126"/>
      <c r="AR68" s="127"/>
      <c r="AS68" s="127"/>
      <c r="AT68" s="119"/>
      <c r="AU68" s="119"/>
      <c r="AV68" s="119"/>
      <c r="AW68" s="119"/>
      <c r="BB68" s="165"/>
      <c r="BC68" s="69"/>
      <c r="BD68" s="863"/>
      <c r="BE68" s="160"/>
      <c r="BF68" s="160"/>
      <c r="BG68" s="161"/>
      <c r="BH68" s="160"/>
      <c r="BI68" s="160"/>
      <c r="BJ68" s="160"/>
      <c r="BP68" s="165">
        <v>11</v>
      </c>
      <c r="BQ68" s="161"/>
      <c r="BR68" s="160"/>
      <c r="BS68" s="160"/>
      <c r="BT68" s="160"/>
      <c r="BU68" s="100" t="b">
        <f>IF(CA81=22,5)</f>
        <v>0</v>
      </c>
      <c r="BV68" s="168"/>
      <c r="BW68" s="168"/>
      <c r="BX68" s="101"/>
      <c r="BY68" s="168"/>
      <c r="BZ68" s="101"/>
      <c r="CA68" s="168"/>
      <c r="CB68" s="101"/>
      <c r="CC68" s="168"/>
      <c r="CD68" s="101"/>
      <c r="CE68" s="101"/>
      <c r="CF68" s="94"/>
      <c r="CG68" s="86" t="b">
        <f>IF(CA81=22,17)</f>
        <v>0</v>
      </c>
      <c r="CH68" s="62"/>
      <c r="CI68" s="62"/>
      <c r="CJ68" s="62"/>
      <c r="CK68" s="62"/>
      <c r="CL68" s="62"/>
      <c r="CM68" s="62"/>
      <c r="CN68" s="62"/>
      <c r="CO68" s="62"/>
      <c r="CP68" s="62"/>
      <c r="CQ68" s="62"/>
      <c r="CR68" s="62"/>
      <c r="CS68" s="62"/>
    </row>
    <row r="69" spans="2:98" ht="21" hidden="1" thickBot="1" x14ac:dyDescent="0.25">
      <c r="D69" s="47"/>
      <c r="G69" s="927"/>
      <c r="H69" s="43"/>
      <c r="I69" s="43"/>
      <c r="J69" s="43"/>
      <c r="K69" s="43"/>
      <c r="L69" s="43"/>
      <c r="M69" s="43"/>
      <c r="N69" s="43"/>
      <c r="O69" s="935"/>
      <c r="T69" s="109"/>
      <c r="U69" s="109"/>
      <c r="V69" s="109"/>
      <c r="W69" s="109"/>
      <c r="X69" s="109"/>
      <c r="Y69" s="109"/>
      <c r="Z69" s="109"/>
      <c r="AA69" s="109"/>
      <c r="AB69" s="109"/>
      <c r="AC69" s="109"/>
      <c r="AD69" s="109"/>
      <c r="AE69" s="109"/>
      <c r="AF69" s="109"/>
      <c r="AG69" s="109"/>
      <c r="AH69" s="109"/>
      <c r="AI69" s="109"/>
      <c r="AJ69" s="109"/>
      <c r="AK69" s="109"/>
      <c r="AL69" s="109"/>
      <c r="AM69" s="109"/>
      <c r="AN69" s="109"/>
      <c r="AO69" s="109"/>
      <c r="AQ69" s="126"/>
      <c r="AR69" s="127"/>
      <c r="AS69" s="127"/>
      <c r="AT69" s="119"/>
      <c r="AU69" s="119"/>
      <c r="AV69" s="119"/>
      <c r="AW69" s="119"/>
      <c r="BB69" s="165"/>
      <c r="BC69" s="69"/>
      <c r="BD69" s="863"/>
      <c r="BE69" s="160"/>
      <c r="BF69" s="160"/>
      <c r="BG69" s="161"/>
      <c r="BH69" s="160"/>
      <c r="BI69" s="160"/>
      <c r="BJ69" s="160"/>
      <c r="BP69" s="165">
        <v>10</v>
      </c>
      <c r="BQ69" s="161"/>
      <c r="BR69" s="160"/>
      <c r="BS69" s="100" t="b">
        <f>IF(BZ81=21,3)</f>
        <v>0</v>
      </c>
      <c r="BT69" s="168"/>
      <c r="BU69" s="168"/>
      <c r="BV69" s="101"/>
      <c r="BW69" s="101"/>
      <c r="BX69" s="101"/>
      <c r="BY69" s="168"/>
      <c r="BZ69" s="168"/>
      <c r="CA69" s="168"/>
      <c r="CB69" s="101"/>
      <c r="CC69" s="168"/>
      <c r="CD69" s="101"/>
      <c r="CE69" s="101"/>
      <c r="CF69" s="94"/>
      <c r="CG69" s="86" t="b">
        <f>IF(BZ81=21,17)</f>
        <v>0</v>
      </c>
      <c r="CH69" s="62"/>
      <c r="CI69" s="62"/>
      <c r="CJ69" s="62"/>
      <c r="CK69" s="62"/>
      <c r="CL69" s="62"/>
      <c r="CM69" s="62"/>
      <c r="CN69" s="62"/>
      <c r="CO69" s="62"/>
      <c r="CP69" s="62"/>
      <c r="CQ69" s="62"/>
      <c r="CR69" s="62"/>
      <c r="CS69" s="62"/>
    </row>
    <row r="70" spans="2:98" ht="21" hidden="1" thickBot="1" x14ac:dyDescent="0.25">
      <c r="B70" s="170"/>
      <c r="C70" s="170"/>
      <c r="D70" s="47"/>
      <c r="G70" s="927"/>
      <c r="H70" s="43"/>
      <c r="I70" s="43"/>
      <c r="J70" s="43"/>
      <c r="K70" s="43"/>
      <c r="L70" s="43"/>
      <c r="M70" s="43"/>
      <c r="N70" s="43"/>
      <c r="O70" s="935"/>
      <c r="T70" s="109"/>
      <c r="U70" s="109"/>
      <c r="V70" s="109"/>
      <c r="W70" s="109"/>
      <c r="X70" s="109"/>
      <c r="Y70" s="109"/>
      <c r="Z70" s="109"/>
      <c r="AA70" s="109"/>
      <c r="AB70" s="109"/>
      <c r="AC70" s="109"/>
      <c r="AD70" s="109"/>
      <c r="AE70" s="109"/>
      <c r="AF70" s="109"/>
      <c r="AG70" s="109"/>
      <c r="AH70" s="109"/>
      <c r="AI70" s="109"/>
      <c r="AJ70" s="109"/>
      <c r="AK70" s="109"/>
      <c r="AL70" s="109"/>
      <c r="AM70" s="109"/>
      <c r="AN70" s="109"/>
      <c r="AO70" s="109"/>
      <c r="AQ70" s="126"/>
      <c r="AR70" s="127"/>
      <c r="AS70" s="127"/>
      <c r="AT70" s="119"/>
      <c r="AU70" s="119"/>
      <c r="AV70" s="119"/>
      <c r="AW70" s="119"/>
      <c r="BB70" s="165"/>
      <c r="BC70" s="69"/>
      <c r="BD70" s="863"/>
      <c r="BE70" s="160"/>
      <c r="BF70" s="160"/>
      <c r="BG70" s="161"/>
      <c r="BH70" s="160"/>
      <c r="BI70" s="160"/>
      <c r="BJ70" s="160"/>
      <c r="BP70" s="165">
        <v>9</v>
      </c>
      <c r="BQ70" s="100" t="b">
        <f>IF(BY81=20,1)</f>
        <v>0</v>
      </c>
      <c r="BR70" s="168"/>
      <c r="BS70" s="168"/>
      <c r="BT70" s="101"/>
      <c r="BU70" s="168"/>
      <c r="BV70" s="168"/>
      <c r="BW70" s="168"/>
      <c r="BX70" s="168"/>
      <c r="BY70" s="168"/>
      <c r="BZ70" s="168"/>
      <c r="CA70" s="168"/>
      <c r="CB70" s="168"/>
      <c r="CC70" s="168"/>
      <c r="CD70" s="101"/>
      <c r="CE70" s="101"/>
      <c r="CF70" s="94"/>
      <c r="CG70" s="86" t="b">
        <f>IF(BY81=20,17)</f>
        <v>0</v>
      </c>
      <c r="CH70" s="62"/>
      <c r="CI70" s="62"/>
      <c r="CJ70" s="62"/>
      <c r="CK70" s="62"/>
      <c r="CL70" s="62"/>
      <c r="CM70" s="62"/>
      <c r="CN70" s="62"/>
      <c r="CO70" s="62"/>
      <c r="CP70" s="62"/>
      <c r="CQ70" s="62"/>
      <c r="CR70" s="62"/>
      <c r="CS70" s="62"/>
    </row>
    <row r="71" spans="2:98" ht="21" hidden="1" thickBot="1" x14ac:dyDescent="0.25">
      <c r="B71" s="170"/>
      <c r="C71" s="170"/>
      <c r="D71" s="47"/>
      <c r="G71" s="927"/>
      <c r="H71" s="43"/>
      <c r="I71" s="43"/>
      <c r="J71" s="43"/>
      <c r="K71" s="43"/>
      <c r="L71" s="43"/>
      <c r="M71" s="43"/>
      <c r="N71" s="43"/>
      <c r="O71" s="935"/>
      <c r="T71" s="109"/>
      <c r="U71" s="109"/>
      <c r="V71" s="109"/>
      <c r="W71" s="109"/>
      <c r="X71" s="109"/>
      <c r="Y71" s="109"/>
      <c r="Z71" s="109"/>
      <c r="AA71" s="109"/>
      <c r="AB71" s="109"/>
      <c r="AC71" s="109"/>
      <c r="AD71" s="109"/>
      <c r="AE71" s="109"/>
      <c r="AF71" s="109"/>
      <c r="AG71" s="109"/>
      <c r="AH71" s="109"/>
      <c r="AI71" s="109"/>
      <c r="AJ71" s="109"/>
      <c r="AK71" s="109"/>
      <c r="AL71" s="109"/>
      <c r="AM71" s="109"/>
      <c r="AN71" s="109"/>
      <c r="AO71" s="109"/>
      <c r="AQ71" s="126"/>
      <c r="AR71" s="127"/>
      <c r="AS71" s="127"/>
      <c r="AT71" s="119"/>
      <c r="AU71" s="119"/>
      <c r="AV71" s="119"/>
      <c r="AW71" s="119"/>
      <c r="BB71" s="165"/>
      <c r="BC71" s="69"/>
      <c r="BD71" s="863"/>
      <c r="BE71" s="160"/>
      <c r="BF71" s="160"/>
      <c r="BG71" s="161"/>
      <c r="BH71" s="160"/>
      <c r="BI71" s="160"/>
      <c r="BJ71" s="160"/>
      <c r="BP71" s="165">
        <v>8</v>
      </c>
      <c r="BQ71" s="103" t="b">
        <f>IF(BX81=19,1)</f>
        <v>0</v>
      </c>
      <c r="BR71" s="105"/>
      <c r="BS71" s="169"/>
      <c r="BT71" s="169"/>
      <c r="BU71" s="169"/>
      <c r="BV71" s="169"/>
      <c r="BW71" s="169"/>
      <c r="BX71" s="169"/>
      <c r="BY71" s="169"/>
      <c r="BZ71" s="169"/>
      <c r="CA71" s="169"/>
      <c r="CB71" s="169"/>
      <c r="CC71" s="169"/>
      <c r="CD71" s="105"/>
      <c r="CE71" s="107" t="b">
        <f>IF(BX81=19,15)</f>
        <v>0</v>
      </c>
      <c r="CF71" s="62"/>
      <c r="CG71" s="62"/>
      <c r="CH71" s="62"/>
      <c r="CI71" s="62"/>
      <c r="CJ71" s="62"/>
      <c r="CK71" s="62"/>
      <c r="CL71" s="62"/>
      <c r="CM71" s="62"/>
      <c r="CN71" s="62"/>
      <c r="CO71" s="62"/>
      <c r="CP71" s="62"/>
      <c r="CQ71" s="62"/>
      <c r="CR71" s="62"/>
      <c r="CS71" s="62"/>
    </row>
    <row r="72" spans="2:98" ht="21" hidden="1" thickBot="1" x14ac:dyDescent="0.25">
      <c r="G72" s="927"/>
      <c r="H72" s="43"/>
      <c r="I72" s="43"/>
      <c r="J72" s="43"/>
      <c r="K72" s="43"/>
      <c r="L72" s="43"/>
      <c r="M72" s="43"/>
      <c r="N72" s="43"/>
      <c r="O72" s="935"/>
      <c r="T72" s="109"/>
      <c r="U72" s="109"/>
      <c r="V72" s="109"/>
      <c r="W72" s="109"/>
      <c r="X72" s="109"/>
      <c r="Y72" s="109"/>
      <c r="Z72" s="109"/>
      <c r="AA72" s="109"/>
      <c r="AB72" s="109"/>
      <c r="AC72" s="109"/>
      <c r="AD72" s="109"/>
      <c r="AE72" s="109"/>
      <c r="AF72" s="109"/>
      <c r="AG72" s="109"/>
      <c r="AH72" s="109"/>
      <c r="AI72" s="109"/>
      <c r="AJ72" s="109"/>
      <c r="AK72" s="109"/>
      <c r="AL72" s="109"/>
      <c r="AM72" s="109"/>
      <c r="AN72" s="109"/>
      <c r="AO72" s="109"/>
      <c r="AQ72" s="126"/>
      <c r="AR72" s="127"/>
      <c r="AS72" s="127"/>
      <c r="AT72" s="119"/>
      <c r="AU72" s="119"/>
      <c r="AV72" s="119"/>
      <c r="AW72" s="119"/>
      <c r="BB72" s="165"/>
      <c r="BC72" s="69"/>
      <c r="BD72" s="863"/>
      <c r="BE72" s="160"/>
      <c r="BF72" s="160"/>
      <c r="BG72" s="161"/>
      <c r="BH72" s="160"/>
      <c r="BI72" s="160"/>
      <c r="BJ72" s="160"/>
      <c r="BP72" s="165">
        <v>7</v>
      </c>
      <c r="BQ72" s="103" t="b">
        <f>IF(BW81=18,1)</f>
        <v>0</v>
      </c>
      <c r="BR72" s="169"/>
      <c r="BS72" s="169"/>
      <c r="BT72" s="169"/>
      <c r="BU72" s="169"/>
      <c r="BV72" s="169"/>
      <c r="BW72" s="169"/>
      <c r="BX72" s="169"/>
      <c r="BY72" s="169"/>
      <c r="BZ72" s="169"/>
      <c r="CA72" s="169"/>
      <c r="CB72" s="169"/>
      <c r="CC72" s="107" t="b">
        <f>IF(BW81=18,13)</f>
        <v>0</v>
      </c>
      <c r="CD72" s="161"/>
      <c r="CF72" s="62"/>
      <c r="CG72" s="62"/>
      <c r="CH72" s="62"/>
      <c r="CI72" s="62"/>
      <c r="CJ72" s="62"/>
      <c r="CK72" s="62"/>
      <c r="CL72" s="62"/>
      <c r="CM72" s="62"/>
      <c r="CN72" s="62"/>
      <c r="CO72" s="62"/>
      <c r="CP72" s="62"/>
      <c r="CQ72" s="62"/>
      <c r="CR72" s="62"/>
      <c r="CS72" s="62"/>
    </row>
    <row r="73" spans="2:98" ht="21" hidden="1" thickBot="1" x14ac:dyDescent="0.25">
      <c r="G73" s="927"/>
      <c r="H73" s="43"/>
      <c r="I73" s="43"/>
      <c r="J73" s="43"/>
      <c r="K73" s="43"/>
      <c r="L73" s="43"/>
      <c r="M73" s="43"/>
      <c r="N73" s="43"/>
      <c r="O73" s="935"/>
      <c r="T73" s="109"/>
      <c r="U73" s="109"/>
      <c r="V73" s="109"/>
      <c r="W73" s="109"/>
      <c r="X73" s="109"/>
      <c r="Y73" s="109"/>
      <c r="Z73" s="109"/>
      <c r="AA73" s="109"/>
      <c r="AB73" s="109"/>
      <c r="AC73" s="109"/>
      <c r="AD73" s="109"/>
      <c r="AE73" s="109"/>
      <c r="AF73" s="109"/>
      <c r="AG73" s="109"/>
      <c r="AH73" s="109"/>
      <c r="AI73" s="109"/>
      <c r="AJ73" s="109"/>
      <c r="AK73" s="109"/>
      <c r="AL73" s="109"/>
      <c r="AM73" s="109"/>
      <c r="AN73" s="109"/>
      <c r="AO73" s="109"/>
      <c r="AQ73" s="126"/>
      <c r="AR73" s="127"/>
      <c r="AS73" s="127"/>
      <c r="AT73" s="119"/>
      <c r="AU73" s="119"/>
      <c r="AV73" s="119"/>
      <c r="AW73" s="119"/>
      <c r="BB73" s="165"/>
      <c r="BC73" s="69"/>
      <c r="BD73" s="863"/>
      <c r="BE73" s="160"/>
      <c r="BF73" s="160"/>
      <c r="BG73" s="161"/>
      <c r="BH73" s="160"/>
      <c r="BI73" s="160"/>
      <c r="BJ73" s="160"/>
      <c r="BP73" s="165">
        <v>6</v>
      </c>
      <c r="BQ73" s="103" t="b">
        <f>IF(BV81=17,1)</f>
        <v>0</v>
      </c>
      <c r="BR73" s="169"/>
      <c r="BS73" s="169"/>
      <c r="BT73" s="169"/>
      <c r="BU73" s="169"/>
      <c r="BV73" s="169"/>
      <c r="BW73" s="169"/>
      <c r="BX73" s="169"/>
      <c r="BY73" s="169"/>
      <c r="BZ73" s="169"/>
      <c r="CA73" s="107" t="b">
        <f>IF(BV81=17,11)</f>
        <v>0</v>
      </c>
      <c r="CB73" s="160"/>
      <c r="CC73" s="160"/>
      <c r="CD73" s="161"/>
      <c r="CF73" s="62"/>
      <c r="CG73" s="62"/>
      <c r="CH73" s="62"/>
      <c r="CI73" s="62"/>
      <c r="CJ73" s="62"/>
      <c r="CK73" s="62"/>
      <c r="CL73" s="62"/>
      <c r="CM73" s="62"/>
      <c r="CN73" s="62"/>
      <c r="CO73" s="62"/>
      <c r="CP73" s="62"/>
      <c r="CQ73" s="62"/>
      <c r="CR73" s="62"/>
      <c r="CS73" s="62"/>
    </row>
    <row r="74" spans="2:98" ht="21" hidden="1" thickBot="1" x14ac:dyDescent="0.25">
      <c r="G74" s="927"/>
      <c r="H74" s="43"/>
      <c r="I74" s="43"/>
      <c r="J74" s="43"/>
      <c r="K74" s="43"/>
      <c r="L74" s="43"/>
      <c r="M74" s="43"/>
      <c r="N74" s="43"/>
      <c r="O74" s="935"/>
      <c r="T74" s="109"/>
      <c r="U74" s="109"/>
      <c r="V74" s="109"/>
      <c r="W74" s="109"/>
      <c r="X74" s="109"/>
      <c r="Y74" s="109"/>
      <c r="Z74" s="109"/>
      <c r="AA74" s="109"/>
      <c r="AB74" s="109"/>
      <c r="AC74" s="109"/>
      <c r="AD74" s="109"/>
      <c r="AE74" s="109"/>
      <c r="AF74" s="109"/>
      <c r="AG74" s="109"/>
      <c r="AH74" s="109"/>
      <c r="AI74" s="109"/>
      <c r="AJ74" s="109"/>
      <c r="AK74" s="109"/>
      <c r="AL74" s="109"/>
      <c r="AM74" s="109"/>
      <c r="AN74" s="109"/>
      <c r="AO74" s="109"/>
      <c r="AQ74" s="126"/>
      <c r="AR74" s="127"/>
      <c r="AS74" s="127"/>
      <c r="AT74" s="119"/>
      <c r="AU74" s="119"/>
      <c r="AV74" s="119"/>
      <c r="AW74" s="119"/>
      <c r="BB74" s="165"/>
      <c r="BC74" s="69"/>
      <c r="BD74" s="863"/>
      <c r="BE74" s="160"/>
      <c r="BF74" s="160"/>
      <c r="BG74" s="161"/>
      <c r="BH74" s="160"/>
      <c r="BI74" s="160"/>
      <c r="BJ74" s="160"/>
      <c r="BP74" s="165">
        <v>5</v>
      </c>
      <c r="BQ74" s="100">
        <f>IF(BU81=16,1)</f>
        <v>1</v>
      </c>
      <c r="BR74" s="168"/>
      <c r="BS74" s="168"/>
      <c r="BT74" s="101"/>
      <c r="BU74" s="168"/>
      <c r="BV74" s="101"/>
      <c r="BW74" s="168"/>
      <c r="BX74" s="168"/>
      <c r="BY74" s="86">
        <f>IF(BU81=16,9)</f>
        <v>9</v>
      </c>
      <c r="BZ74" s="160"/>
      <c r="CA74" s="160"/>
      <c r="CB74" s="160"/>
      <c r="CC74" s="160"/>
      <c r="CD74" s="161"/>
      <c r="CF74" s="62"/>
      <c r="CG74" s="62"/>
      <c r="CH74" s="62"/>
      <c r="CI74" s="62"/>
      <c r="CJ74" s="62"/>
      <c r="CK74" s="62"/>
      <c r="CL74" s="62"/>
      <c r="CM74" s="62"/>
      <c r="CN74" s="62"/>
      <c r="CO74" s="62"/>
      <c r="CP74" s="62"/>
      <c r="CQ74" s="62"/>
      <c r="CR74" s="62"/>
      <c r="CS74" s="62"/>
    </row>
    <row r="75" spans="2:98" ht="21" hidden="1" thickBot="1" x14ac:dyDescent="0.25">
      <c r="B75" s="170"/>
      <c r="C75" s="170"/>
      <c r="D75" s="47"/>
      <c r="G75" s="927"/>
      <c r="H75" s="43"/>
      <c r="I75" s="43"/>
      <c r="J75" s="43"/>
      <c r="K75" s="43"/>
      <c r="L75" s="43"/>
      <c r="M75" s="43"/>
      <c r="N75" s="43"/>
      <c r="O75" s="935"/>
      <c r="T75" s="109"/>
      <c r="U75" s="109"/>
      <c r="V75" s="109"/>
      <c r="W75" s="109"/>
      <c r="X75" s="109"/>
      <c r="Y75" s="109"/>
      <c r="Z75" s="109"/>
      <c r="AA75" s="109"/>
      <c r="AB75" s="109"/>
      <c r="AC75" s="109"/>
      <c r="AD75" s="109"/>
      <c r="AE75" s="109"/>
      <c r="AF75" s="109"/>
      <c r="AG75" s="109"/>
      <c r="AH75" s="109"/>
      <c r="AI75" s="109"/>
      <c r="AJ75" s="109"/>
      <c r="AK75" s="109"/>
      <c r="AL75" s="109"/>
      <c r="AM75" s="109"/>
      <c r="AN75" s="109"/>
      <c r="AO75" s="109"/>
      <c r="AQ75" s="126"/>
      <c r="AR75" s="127"/>
      <c r="AS75" s="127"/>
      <c r="AT75" s="119"/>
      <c r="AU75" s="119"/>
      <c r="AV75" s="119"/>
      <c r="AW75" s="119"/>
      <c r="BB75" s="165"/>
      <c r="BC75" s="69"/>
      <c r="BD75" s="863"/>
      <c r="BE75" s="160"/>
      <c r="BF75" s="160"/>
      <c r="BG75" s="161"/>
      <c r="BH75" s="160"/>
      <c r="BI75" s="160"/>
      <c r="BJ75" s="160"/>
      <c r="BP75" s="165">
        <v>4</v>
      </c>
      <c r="BQ75" s="100" t="b">
        <f>IF(BT81=15,1)</f>
        <v>0</v>
      </c>
      <c r="BR75" s="101"/>
      <c r="BS75" s="101"/>
      <c r="BT75" s="168"/>
      <c r="BU75" s="101"/>
      <c r="BV75" s="101"/>
      <c r="BW75" s="86" t="b">
        <f>IF(BT81=15,7)</f>
        <v>0</v>
      </c>
      <c r="BX75" s="160"/>
      <c r="BY75" s="160"/>
      <c r="BZ75" s="160"/>
      <c r="CA75" s="160"/>
      <c r="CB75" s="160"/>
      <c r="CC75" s="160"/>
      <c r="CD75" s="161"/>
      <c r="CF75" s="62"/>
      <c r="CG75" s="62"/>
      <c r="CH75" s="62"/>
      <c r="CI75" s="62"/>
      <c r="CJ75" s="62"/>
      <c r="CK75" s="62"/>
      <c r="CL75" s="62"/>
      <c r="CM75" s="62"/>
      <c r="CN75" s="62"/>
      <c r="CO75" s="62"/>
      <c r="CP75" s="62"/>
      <c r="CQ75" s="62"/>
      <c r="CR75" s="62"/>
      <c r="CS75" s="62"/>
    </row>
    <row r="76" spans="2:98" ht="21" hidden="1" thickBot="1" x14ac:dyDescent="0.25">
      <c r="B76" s="170"/>
      <c r="G76" s="927"/>
      <c r="H76" s="43"/>
      <c r="I76" s="43"/>
      <c r="J76" s="43"/>
      <c r="K76" s="43"/>
      <c r="L76" s="43"/>
      <c r="M76" s="43"/>
      <c r="N76" s="43"/>
      <c r="O76" s="935"/>
      <c r="T76" s="109"/>
      <c r="U76" s="109"/>
      <c r="V76" s="109"/>
      <c r="W76" s="109"/>
      <c r="X76" s="109"/>
      <c r="Y76" s="109"/>
      <c r="Z76" s="109"/>
      <c r="AA76" s="109"/>
      <c r="AB76" s="109"/>
      <c r="AC76" s="109"/>
      <c r="AD76" s="109"/>
      <c r="AE76" s="109"/>
      <c r="AF76" s="109"/>
      <c r="AG76" s="109"/>
      <c r="AH76" s="109"/>
      <c r="AI76" s="109"/>
      <c r="AJ76" s="109"/>
      <c r="AK76" s="109"/>
      <c r="AL76" s="109"/>
      <c r="AM76" s="109"/>
      <c r="AN76" s="109"/>
      <c r="AO76" s="109"/>
      <c r="AQ76" s="126"/>
      <c r="AR76" s="127"/>
      <c r="AS76" s="127"/>
      <c r="AT76" s="119"/>
      <c r="AU76" s="119"/>
      <c r="AV76" s="119"/>
      <c r="AW76" s="119"/>
      <c r="BB76" s="165"/>
      <c r="BC76" s="69"/>
      <c r="BD76" s="863"/>
      <c r="BE76" s="160"/>
      <c r="BF76" s="160"/>
      <c r="BG76" s="161"/>
      <c r="BH76" s="160"/>
      <c r="BI76" s="160"/>
      <c r="BJ76" s="160"/>
      <c r="BP76" s="165">
        <v>3</v>
      </c>
      <c r="BQ76" s="103" t="b">
        <f>IF(BS81=14,1)</f>
        <v>0</v>
      </c>
      <c r="BR76" s="169"/>
      <c r="BS76" s="169"/>
      <c r="BT76" s="169"/>
      <c r="BU76" s="107" t="b">
        <f>IF(BS81=14,5)</f>
        <v>0</v>
      </c>
      <c r="BV76" s="160"/>
      <c r="BW76" s="160"/>
      <c r="BX76" s="160"/>
      <c r="BY76" s="160"/>
      <c r="BZ76" s="160"/>
      <c r="CA76" s="160"/>
      <c r="CB76" s="160"/>
      <c r="CC76" s="160"/>
      <c r="CD76" s="161"/>
      <c r="CF76" s="62"/>
      <c r="CG76" s="62"/>
      <c r="CH76" s="62"/>
      <c r="CI76" s="62"/>
      <c r="CJ76" s="62"/>
      <c r="CK76" s="62"/>
      <c r="CL76" s="62"/>
      <c r="CM76" s="62"/>
      <c r="CN76" s="62"/>
      <c r="CO76" s="62"/>
      <c r="CP76" s="62"/>
      <c r="CQ76" s="62"/>
      <c r="CR76" s="62"/>
      <c r="CS76" s="62"/>
    </row>
    <row r="77" spans="2:98" ht="21" hidden="1" thickBot="1" x14ac:dyDescent="0.25">
      <c r="G77" s="927"/>
      <c r="H77" s="43"/>
      <c r="I77" s="43"/>
      <c r="J77" s="43"/>
      <c r="K77" s="43"/>
      <c r="L77" s="43"/>
      <c r="M77" s="43"/>
      <c r="N77" s="43"/>
      <c r="O77" s="935"/>
      <c r="T77" s="109"/>
      <c r="U77" s="109"/>
      <c r="V77" s="109"/>
      <c r="W77" s="109"/>
      <c r="X77" s="109"/>
      <c r="Y77" s="109"/>
      <c r="Z77" s="109"/>
      <c r="AA77" s="109"/>
      <c r="AB77" s="109"/>
      <c r="AC77" s="109"/>
      <c r="AD77" s="109"/>
      <c r="AE77" s="109"/>
      <c r="AF77" s="109"/>
      <c r="AG77" s="109"/>
      <c r="AH77" s="109"/>
      <c r="AI77" s="109"/>
      <c r="AJ77" s="109"/>
      <c r="AK77" s="109"/>
      <c r="AL77" s="109"/>
      <c r="AM77" s="109"/>
      <c r="AN77" s="109"/>
      <c r="AO77" s="109"/>
      <c r="AQ77" s="126"/>
      <c r="AR77" s="127"/>
      <c r="AS77" s="127"/>
      <c r="AT77" s="119"/>
      <c r="AU77" s="119"/>
      <c r="AV77" s="119"/>
      <c r="AW77" s="119"/>
      <c r="BB77" s="165"/>
      <c r="BC77" s="69"/>
      <c r="BD77" s="863"/>
      <c r="BE77" s="160"/>
      <c r="BF77" s="160"/>
      <c r="BG77" s="161"/>
      <c r="BH77" s="160"/>
      <c r="BI77" s="160"/>
      <c r="BJ77" s="160"/>
      <c r="BP77" s="165">
        <v>2</v>
      </c>
      <c r="BQ77" s="103" t="b">
        <f>IF(BR81=13,1)</f>
        <v>0</v>
      </c>
      <c r="BR77" s="169"/>
      <c r="BS77" s="107" t="b">
        <f>IF(BR81=13,3)</f>
        <v>0</v>
      </c>
      <c r="BT77" s="160"/>
      <c r="BU77" s="160"/>
      <c r="BV77" s="160"/>
      <c r="BW77" s="160"/>
      <c r="BX77" s="160"/>
      <c r="BY77" s="160"/>
      <c r="BZ77" s="160"/>
      <c r="CA77" s="160"/>
      <c r="CB77" s="160"/>
      <c r="CC77" s="160"/>
      <c r="CD77" s="161"/>
      <c r="CF77" s="62"/>
      <c r="CG77" s="62"/>
      <c r="CH77" s="62"/>
      <c r="CI77" s="62"/>
      <c r="CJ77" s="62"/>
      <c r="CK77" s="62"/>
      <c r="CL77" s="62"/>
      <c r="CM77" s="62"/>
      <c r="CN77" s="62"/>
      <c r="CO77" s="62"/>
      <c r="CP77" s="62"/>
      <c r="CQ77" s="62"/>
      <c r="CR77" s="62"/>
      <c r="CS77" s="62"/>
    </row>
    <row r="78" spans="2:98" ht="21" thickBot="1" x14ac:dyDescent="0.25">
      <c r="G78" s="927"/>
      <c r="H78" s="43"/>
      <c r="I78" s="43"/>
      <c r="J78" s="43"/>
      <c r="K78" s="43"/>
      <c r="L78" s="43"/>
      <c r="M78" s="43"/>
      <c r="N78" s="43"/>
      <c r="O78" s="935"/>
      <c r="T78" s="109"/>
      <c r="U78" s="109"/>
      <c r="V78" s="109"/>
      <c r="W78" s="109"/>
      <c r="X78" s="109"/>
      <c r="Y78" s="109"/>
      <c r="Z78" s="109"/>
      <c r="AA78" s="109"/>
      <c r="AB78" s="109"/>
      <c r="AC78" s="109"/>
      <c r="AD78" s="109"/>
      <c r="AE78" s="109"/>
      <c r="AF78" s="109"/>
      <c r="AG78" s="109"/>
      <c r="AH78" s="109"/>
      <c r="AI78" s="109"/>
      <c r="AJ78" s="109"/>
      <c r="AK78" s="109"/>
      <c r="AL78" s="109"/>
      <c r="AM78" s="109"/>
      <c r="AN78" s="109"/>
      <c r="AO78" s="109"/>
      <c r="AQ78" s="126"/>
      <c r="AR78" s="127"/>
      <c r="AS78" s="127"/>
      <c r="AT78" s="119"/>
      <c r="AU78" s="119"/>
      <c r="AV78" s="119"/>
      <c r="AW78" s="119"/>
      <c r="BB78" s="165"/>
      <c r="BC78" s="69"/>
      <c r="BD78" s="863"/>
      <c r="BE78" s="160"/>
      <c r="BF78" s="160"/>
      <c r="BG78" s="161"/>
      <c r="BH78" s="160"/>
      <c r="BI78" s="160"/>
      <c r="BJ78" s="160"/>
      <c r="BK78" s="60"/>
      <c r="BL78" s="160"/>
      <c r="BP78" s="160"/>
      <c r="BQ78" s="160"/>
      <c r="BR78" s="160"/>
      <c r="BS78" s="160"/>
      <c r="BT78" s="160"/>
      <c r="BU78" s="160"/>
      <c r="BV78" s="160"/>
      <c r="BW78" s="160"/>
      <c r="BX78" s="160"/>
      <c r="BY78" s="160"/>
      <c r="BZ78" s="160"/>
      <c r="CA78" s="161"/>
      <c r="CB78" s="90"/>
      <c r="CC78" s="90"/>
      <c r="CD78" s="90"/>
      <c r="CF78" s="62"/>
      <c r="CG78" s="62"/>
      <c r="CH78" s="62"/>
      <c r="CI78" s="62"/>
      <c r="CJ78" s="62"/>
      <c r="CK78" s="62"/>
      <c r="CL78" s="62"/>
      <c r="CM78" s="62"/>
      <c r="CN78" s="62"/>
      <c r="CO78" s="62"/>
      <c r="CP78" s="62"/>
      <c r="CQ78" s="62"/>
      <c r="CR78" s="62"/>
      <c r="CS78" s="62"/>
    </row>
    <row r="79" spans="2:98" ht="43.5" customHeight="1" thickBot="1" x14ac:dyDescent="0.3">
      <c r="G79" s="807"/>
      <c r="H79" s="43"/>
      <c r="I79" s="43"/>
      <c r="J79" s="43"/>
      <c r="K79" s="43"/>
      <c r="L79" s="43"/>
      <c r="M79" s="43"/>
      <c r="N79" s="43"/>
      <c r="O79" s="935"/>
      <c r="T79" s="109"/>
      <c r="U79" s="109"/>
      <c r="V79" s="109"/>
      <c r="W79" s="109"/>
      <c r="X79" s="109"/>
      <c r="Y79" s="109"/>
      <c r="Z79" s="109"/>
      <c r="AA79" s="109"/>
      <c r="AB79" s="109"/>
      <c r="AC79" s="109"/>
      <c r="AD79" s="109"/>
      <c r="AE79" s="109"/>
      <c r="AF79" s="109"/>
      <c r="AG79" s="109"/>
      <c r="AH79" s="109"/>
      <c r="AI79" s="109"/>
      <c r="AJ79" s="109"/>
      <c r="AK79" s="109"/>
      <c r="AL79" s="109"/>
      <c r="AM79" s="109"/>
      <c r="AN79" s="109"/>
      <c r="AO79" s="109"/>
      <c r="AQ79" s="126"/>
      <c r="AS79" s="127"/>
      <c r="AT79" s="119"/>
      <c r="AU79" s="119"/>
      <c r="AV79" s="119"/>
      <c r="AW79" s="119"/>
      <c r="AX79" s="119"/>
      <c r="AZ79" s="119"/>
      <c r="BA79" s="119"/>
      <c r="BB79" s="818"/>
      <c r="BC79" s="171"/>
      <c r="BD79" s="866" t="s">
        <v>140</v>
      </c>
      <c r="BE79" s="589" t="s">
        <v>110</v>
      </c>
      <c r="BF79" s="173"/>
      <c r="BG79" s="174"/>
      <c r="BH79" s="174"/>
      <c r="BI79" s="174"/>
      <c r="BJ79" s="174"/>
      <c r="BK79" s="174"/>
      <c r="BL79" s="174"/>
      <c r="BM79" s="174"/>
      <c r="BN79" s="174"/>
      <c r="BO79" s="174"/>
      <c r="BP79" s="174"/>
      <c r="BQ79" s="601">
        <f>SUM(BQ63:BQ78)</f>
        <v>1</v>
      </c>
      <c r="BR79" s="602">
        <f t="shared" ref="BR79:CG79" si="0">SUM(BR63:BR78)</f>
        <v>0</v>
      </c>
      <c r="BS79" s="602">
        <f t="shared" si="0"/>
        <v>0</v>
      </c>
      <c r="BT79" s="602">
        <f t="shared" si="0"/>
        <v>0</v>
      </c>
      <c r="BU79" s="602">
        <f t="shared" si="0"/>
        <v>0</v>
      </c>
      <c r="BV79" s="602">
        <f t="shared" si="0"/>
        <v>0</v>
      </c>
      <c r="BW79" s="602">
        <f t="shared" si="0"/>
        <v>0</v>
      </c>
      <c r="BX79" s="602">
        <f t="shared" si="0"/>
        <v>0</v>
      </c>
      <c r="BY79" s="602">
        <f t="shared" si="0"/>
        <v>9</v>
      </c>
      <c r="BZ79" s="602">
        <f t="shared" si="0"/>
        <v>0</v>
      </c>
      <c r="CA79" s="602">
        <f t="shared" si="0"/>
        <v>0</v>
      </c>
      <c r="CB79" s="602">
        <f t="shared" si="0"/>
        <v>0</v>
      </c>
      <c r="CC79" s="602">
        <f t="shared" si="0"/>
        <v>0</v>
      </c>
      <c r="CD79" s="602">
        <f t="shared" si="0"/>
        <v>0</v>
      </c>
      <c r="CE79" s="602">
        <f t="shared" si="0"/>
        <v>0</v>
      </c>
      <c r="CF79" s="602">
        <f t="shared" si="0"/>
        <v>0</v>
      </c>
      <c r="CG79" s="603">
        <f t="shared" si="0"/>
        <v>0</v>
      </c>
      <c r="CH79" s="174"/>
      <c r="CI79" s="174"/>
      <c r="CJ79" s="175"/>
      <c r="CK79" s="175"/>
      <c r="CL79" s="175"/>
      <c r="CM79" s="175"/>
      <c r="CN79" s="175"/>
      <c r="CO79" s="175"/>
      <c r="CP79" s="176"/>
      <c r="CQ79" s="72"/>
      <c r="CR79" s="62"/>
      <c r="CS79" s="62"/>
    </row>
    <row r="80" spans="2:98" ht="43.5" customHeight="1" thickBot="1" x14ac:dyDescent="0.3">
      <c r="G80" s="927"/>
      <c r="H80" s="43"/>
      <c r="I80" s="43"/>
      <c r="J80" s="43"/>
      <c r="K80" s="43"/>
      <c r="L80" s="43"/>
      <c r="M80" s="43"/>
      <c r="N80" s="43"/>
      <c r="O80" s="935"/>
      <c r="T80" s="109"/>
      <c r="U80" s="109"/>
      <c r="V80" s="109"/>
      <c r="W80" s="109"/>
      <c r="X80" s="109"/>
      <c r="Y80" s="109"/>
      <c r="Z80" s="109"/>
      <c r="AA80" s="109"/>
      <c r="AB80" s="109"/>
      <c r="AC80" s="109"/>
      <c r="AD80" s="109"/>
      <c r="AE80" s="109"/>
      <c r="AF80" s="109"/>
      <c r="AG80" s="109"/>
      <c r="AH80" s="109"/>
      <c r="AI80" s="109"/>
      <c r="AJ80" s="109"/>
      <c r="AK80" s="109"/>
      <c r="AL80" s="109"/>
      <c r="AM80" s="109"/>
      <c r="AN80" s="109"/>
      <c r="AO80" s="109"/>
      <c r="AQ80" s="126"/>
      <c r="AR80" s="127"/>
      <c r="AS80" s="127"/>
      <c r="AT80" s="119"/>
      <c r="AU80" s="119"/>
      <c r="AV80" s="119"/>
      <c r="AW80" s="119"/>
      <c r="AX80" s="119"/>
      <c r="AY80" s="119"/>
      <c r="AZ80" s="119"/>
      <c r="BA80" s="767">
        <v>4</v>
      </c>
      <c r="BB80" s="165" t="b">
        <f>AND(BD80&gt;=10,$AN$138&gt;=10,$AO$138&gt;=10)</f>
        <v>1</v>
      </c>
      <c r="BC80" s="67" t="str">
        <f>IF(BB80=TRUE,"O K","OVERLOAD")</f>
        <v>O K</v>
      </c>
      <c r="BD80" s="781">
        <f>+$E$8/(BF49/2)</f>
        <v>192.07683073229293</v>
      </c>
      <c r="BE80" s="177"/>
      <c r="BF80" s="90"/>
      <c r="BG80" s="91"/>
      <c r="BH80" s="90"/>
      <c r="BI80" s="90"/>
      <c r="BJ80" s="90"/>
      <c r="BK80" s="91"/>
      <c r="BL80" s="90"/>
      <c r="BM80" s="90"/>
      <c r="BN80" s="90"/>
      <c r="BO80" s="90"/>
      <c r="BP80" s="90"/>
      <c r="BQ80" s="90"/>
      <c r="BR80" s="90"/>
      <c r="BS80" s="90"/>
      <c r="BT80" s="90"/>
      <c r="BU80" s="90"/>
      <c r="BV80" s="90"/>
      <c r="BW80" s="90"/>
      <c r="BX80" s="90"/>
      <c r="BY80" s="90"/>
      <c r="BZ80" s="90"/>
      <c r="CA80" s="90"/>
      <c r="CB80" s="90"/>
      <c r="CC80" s="90"/>
      <c r="CD80" s="90"/>
      <c r="CE80" s="90"/>
      <c r="CF80" s="90"/>
      <c r="CG80" s="90"/>
      <c r="CH80" s="62"/>
      <c r="CI80" s="62"/>
      <c r="CJ80" s="62"/>
      <c r="CK80" s="62"/>
      <c r="CL80" s="62"/>
      <c r="CM80" s="62"/>
      <c r="CN80" s="62"/>
      <c r="CO80" s="62"/>
      <c r="CP80" s="62"/>
      <c r="CQ80" s="62"/>
      <c r="CR80" s="62"/>
      <c r="CS80" s="62"/>
    </row>
    <row r="81" spans="7:97" ht="20" hidden="1" x14ac:dyDescent="0.2">
      <c r="G81" s="927"/>
      <c r="H81" s="43"/>
      <c r="I81" s="43"/>
      <c r="J81" s="43"/>
      <c r="K81" s="43"/>
      <c r="L81" s="43"/>
      <c r="M81" s="43"/>
      <c r="N81" s="43"/>
      <c r="O81" s="935"/>
      <c r="T81" s="109"/>
      <c r="U81" s="109"/>
      <c r="V81" s="109"/>
      <c r="W81" s="109"/>
      <c r="X81" s="109"/>
      <c r="Y81" s="109"/>
      <c r="Z81" s="109"/>
      <c r="AA81" s="109"/>
      <c r="AB81" s="109"/>
      <c r="AC81" s="109"/>
      <c r="AD81" s="109"/>
      <c r="AE81" s="109"/>
      <c r="AF81" s="109"/>
      <c r="AG81" s="109"/>
      <c r="AH81" s="109"/>
      <c r="AI81" s="109"/>
      <c r="AJ81" s="109"/>
      <c r="AK81" s="109"/>
      <c r="AL81" s="109"/>
      <c r="AM81" s="109"/>
      <c r="AN81" s="109"/>
      <c r="AO81" s="109"/>
      <c r="AQ81" s="126"/>
      <c r="AR81" s="127"/>
      <c r="AS81" s="127"/>
      <c r="AT81" s="119"/>
      <c r="AU81" s="119"/>
      <c r="AV81" s="119"/>
      <c r="AW81" s="119"/>
      <c r="AX81" s="119"/>
      <c r="AY81" s="119"/>
      <c r="AZ81" s="119"/>
      <c r="BA81" s="119"/>
      <c r="BB81" s="818"/>
      <c r="BC81" s="171"/>
      <c r="BD81" s="863"/>
      <c r="BE81" s="60"/>
      <c r="BF81" s="178" t="b">
        <f>+AZ162</f>
        <v>0</v>
      </c>
      <c r="BG81" s="178" t="b">
        <f>+AZ163</f>
        <v>0</v>
      </c>
      <c r="BH81" s="178" t="b">
        <f>+AZ164</f>
        <v>0</v>
      </c>
      <c r="BI81" s="178" t="b">
        <f>+AZ165</f>
        <v>0</v>
      </c>
      <c r="BJ81" s="178" t="b">
        <f>+AZ166</f>
        <v>0</v>
      </c>
      <c r="BK81" s="178" t="b">
        <f>+AZ167</f>
        <v>0</v>
      </c>
      <c r="BL81" s="178" t="b">
        <f>+AZ168</f>
        <v>0</v>
      </c>
      <c r="BM81" s="178" t="b">
        <f>+AZ169</f>
        <v>0</v>
      </c>
      <c r="BN81" s="178" t="b">
        <f>+AZ170</f>
        <v>0</v>
      </c>
      <c r="BO81" s="178" t="b">
        <f>+AZ171</f>
        <v>0</v>
      </c>
      <c r="BP81" s="178" t="b">
        <f>+AZ172</f>
        <v>0</v>
      </c>
      <c r="BQ81" s="178" t="b">
        <f>+AZ173</f>
        <v>0</v>
      </c>
      <c r="BR81" s="178" t="b">
        <f>+AZ174</f>
        <v>0</v>
      </c>
      <c r="BS81" s="178" t="b">
        <f>+AZ175</f>
        <v>0</v>
      </c>
      <c r="BT81" s="178" t="b">
        <f>+AZ176</f>
        <v>0</v>
      </c>
      <c r="BU81" s="178">
        <f>+AZ177</f>
        <v>16</v>
      </c>
      <c r="BV81" s="178" t="b">
        <f>+AZ178</f>
        <v>0</v>
      </c>
      <c r="BW81" s="178" t="b">
        <f>+AZ179</f>
        <v>0</v>
      </c>
      <c r="BX81" s="178" t="b">
        <f>+AZ180</f>
        <v>0</v>
      </c>
      <c r="BY81" s="178" t="b">
        <f>+AZ181</f>
        <v>0</v>
      </c>
      <c r="BZ81" s="178" t="b">
        <f>+AZ182</f>
        <v>0</v>
      </c>
      <c r="CA81" s="178" t="b">
        <f>+AZ183</f>
        <v>0</v>
      </c>
      <c r="CB81" s="178" t="b">
        <f>+AZ184</f>
        <v>0</v>
      </c>
      <c r="CC81" s="178" t="b">
        <f>+AZ185</f>
        <v>0</v>
      </c>
      <c r="CD81" s="178" t="b">
        <f>+AZ186</f>
        <v>0</v>
      </c>
      <c r="CE81" s="178" t="b">
        <f>+AZ187</f>
        <v>0</v>
      </c>
      <c r="CF81" s="178" t="b">
        <f>+AZ188</f>
        <v>0</v>
      </c>
      <c r="CG81" s="178" t="b">
        <f>+AZ189</f>
        <v>0</v>
      </c>
      <c r="CH81" s="178" t="b">
        <f>+AZ190</f>
        <v>0</v>
      </c>
      <c r="CI81" s="178" t="b">
        <f>+AZ191</f>
        <v>0</v>
      </c>
      <c r="CJ81" s="178" t="b">
        <f>+AZ192</f>
        <v>0</v>
      </c>
      <c r="CK81" s="178" t="b">
        <f>+AZ193</f>
        <v>0</v>
      </c>
      <c r="CL81" s="178" t="b">
        <f>+AZ194</f>
        <v>0</v>
      </c>
      <c r="CM81" s="178" t="b">
        <f>+AZ195</f>
        <v>0</v>
      </c>
      <c r="CN81" s="178" t="b">
        <f>+AZ196</f>
        <v>0</v>
      </c>
      <c r="CO81" s="178" t="b">
        <f>+AZ197</f>
        <v>0</v>
      </c>
      <c r="CP81" s="178" t="b">
        <f>+AZ198</f>
        <v>0</v>
      </c>
      <c r="CQ81" s="179"/>
      <c r="CR81" s="62"/>
      <c r="CS81" s="62"/>
    </row>
    <row r="82" spans="7:97" ht="21" hidden="1" thickBot="1" x14ac:dyDescent="0.25">
      <c r="G82" s="927"/>
      <c r="H82" s="43"/>
      <c r="I82" s="43"/>
      <c r="J82" s="43"/>
      <c r="K82" s="43"/>
      <c r="L82" s="43"/>
      <c r="M82" s="43"/>
      <c r="N82" s="43"/>
      <c r="O82" s="935"/>
      <c r="T82" s="109"/>
      <c r="U82" s="109"/>
      <c r="V82" s="109"/>
      <c r="W82" s="109"/>
      <c r="X82" s="109"/>
      <c r="Y82" s="109"/>
      <c r="Z82" s="109"/>
      <c r="AA82" s="109"/>
      <c r="AB82" s="109"/>
      <c r="AC82" s="109"/>
      <c r="AD82" s="109"/>
      <c r="AE82" s="109"/>
      <c r="AF82" s="109"/>
      <c r="AG82" s="109"/>
      <c r="AH82" s="109"/>
      <c r="AI82" s="109"/>
      <c r="AJ82" s="109"/>
      <c r="AK82" s="109"/>
      <c r="AL82" s="109"/>
      <c r="AM82" s="109"/>
      <c r="AN82" s="109"/>
      <c r="AO82" s="109"/>
      <c r="AQ82" s="126"/>
      <c r="AR82" s="127"/>
      <c r="AS82" s="127"/>
      <c r="AT82" s="119"/>
      <c r="AU82" s="119"/>
      <c r="AV82" s="119"/>
      <c r="AW82" s="119"/>
      <c r="AX82" s="119"/>
      <c r="AY82" s="119"/>
      <c r="AZ82" s="119"/>
      <c r="BA82" s="119"/>
      <c r="BB82" s="818"/>
      <c r="BC82" s="171"/>
      <c r="BD82" s="863"/>
      <c r="BE82" s="62"/>
      <c r="BF82" s="179" t="b">
        <f>+BF81</f>
        <v>0</v>
      </c>
      <c r="BG82" s="179" t="b">
        <f t="shared" ref="BG82:BX82" si="1">+BG81</f>
        <v>0</v>
      </c>
      <c r="BH82" s="179" t="b">
        <f t="shared" si="1"/>
        <v>0</v>
      </c>
      <c r="BI82" s="179" t="b">
        <f t="shared" si="1"/>
        <v>0</v>
      </c>
      <c r="BJ82" s="179" t="b">
        <f t="shared" si="1"/>
        <v>0</v>
      </c>
      <c r="BK82" s="179" t="b">
        <f t="shared" si="1"/>
        <v>0</v>
      </c>
      <c r="BL82" s="179" t="b">
        <f>+BL81</f>
        <v>0</v>
      </c>
      <c r="BM82" s="179" t="b">
        <f t="shared" si="1"/>
        <v>0</v>
      </c>
      <c r="BN82" s="179" t="b">
        <f t="shared" si="1"/>
        <v>0</v>
      </c>
      <c r="BO82" s="179" t="b">
        <f t="shared" si="1"/>
        <v>0</v>
      </c>
      <c r="BP82" s="179" t="b">
        <f t="shared" si="1"/>
        <v>0</v>
      </c>
      <c r="BQ82" s="179" t="b">
        <f>+BQ81</f>
        <v>0</v>
      </c>
      <c r="BR82" s="179" t="b">
        <f>+BR81</f>
        <v>0</v>
      </c>
      <c r="BS82" s="179" t="b">
        <f>+BS81</f>
        <v>0</v>
      </c>
      <c r="BT82" s="179" t="b">
        <f>+BT81</f>
        <v>0</v>
      </c>
      <c r="BU82" s="179">
        <f>+BU81</f>
        <v>16</v>
      </c>
      <c r="BV82" s="179" t="b">
        <f t="shared" si="1"/>
        <v>0</v>
      </c>
      <c r="BW82" s="179" t="b">
        <f t="shared" si="1"/>
        <v>0</v>
      </c>
      <c r="BX82" s="179" t="b">
        <f t="shared" si="1"/>
        <v>0</v>
      </c>
      <c r="BY82" s="179" t="b">
        <f>+BY81</f>
        <v>0</v>
      </c>
      <c r="BZ82" s="179" t="b">
        <f>+BZ81</f>
        <v>0</v>
      </c>
      <c r="CA82" s="179" t="b">
        <f t="shared" ref="CA82:CP82" si="2">+CA81</f>
        <v>0</v>
      </c>
      <c r="CB82" s="179" t="b">
        <f t="shared" si="2"/>
        <v>0</v>
      </c>
      <c r="CC82" s="179" t="b">
        <f t="shared" si="2"/>
        <v>0</v>
      </c>
      <c r="CD82" s="179" t="b">
        <f t="shared" si="2"/>
        <v>0</v>
      </c>
      <c r="CE82" s="179" t="b">
        <f t="shared" si="2"/>
        <v>0</v>
      </c>
      <c r="CF82" s="179" t="b">
        <f t="shared" si="2"/>
        <v>0</v>
      </c>
      <c r="CG82" s="179" t="b">
        <f t="shared" si="2"/>
        <v>0</v>
      </c>
      <c r="CH82" s="179" t="b">
        <f t="shared" si="2"/>
        <v>0</v>
      </c>
      <c r="CI82" s="179" t="b">
        <f t="shared" si="2"/>
        <v>0</v>
      </c>
      <c r="CJ82" s="179" t="b">
        <f t="shared" si="2"/>
        <v>0</v>
      </c>
      <c r="CK82" s="179" t="b">
        <f t="shared" si="2"/>
        <v>0</v>
      </c>
      <c r="CL82" s="179" t="b">
        <f t="shared" si="2"/>
        <v>0</v>
      </c>
      <c r="CM82" s="179" t="b">
        <f t="shared" si="2"/>
        <v>0</v>
      </c>
      <c r="CN82" s="179" t="b">
        <f t="shared" si="2"/>
        <v>0</v>
      </c>
      <c r="CO82" s="179" t="b">
        <f t="shared" si="2"/>
        <v>0</v>
      </c>
      <c r="CP82" s="179" t="b">
        <f t="shared" si="2"/>
        <v>0</v>
      </c>
      <c r="CQ82" s="179"/>
      <c r="CR82" s="62"/>
      <c r="CS82" s="62"/>
    </row>
    <row r="83" spans="7:97" ht="21" thickBot="1" x14ac:dyDescent="0.25">
      <c r="G83" s="927"/>
      <c r="H83" s="43"/>
      <c r="I83" s="43"/>
      <c r="J83" s="43"/>
      <c r="K83" s="787">
        <v>5</v>
      </c>
      <c r="L83" s="43"/>
      <c r="M83" s="787">
        <v>51</v>
      </c>
      <c r="N83" s="43"/>
      <c r="O83" s="935"/>
      <c r="T83" s="109"/>
      <c r="U83" s="109"/>
      <c r="V83" s="109"/>
      <c r="W83" s="109"/>
      <c r="X83" s="109"/>
      <c r="Y83" s="109"/>
      <c r="Z83" s="109"/>
      <c r="AA83" s="109"/>
      <c r="AB83" s="109"/>
      <c r="AC83" s="109"/>
      <c r="AD83" s="109"/>
      <c r="AE83" s="109"/>
      <c r="AF83" s="109"/>
      <c r="AG83" s="109"/>
      <c r="AH83" s="109"/>
      <c r="AI83" s="109"/>
      <c r="AJ83" s="109"/>
      <c r="AK83" s="109"/>
      <c r="AL83" s="109"/>
      <c r="AM83" s="109"/>
      <c r="AN83" s="109"/>
      <c r="AO83" s="109"/>
      <c r="AQ83" s="126"/>
      <c r="AR83" s="127"/>
      <c r="AS83" s="127"/>
      <c r="AT83" s="119"/>
      <c r="AU83" s="119"/>
      <c r="AV83" s="119"/>
      <c r="AW83" s="119"/>
      <c r="AX83" s="119"/>
      <c r="AY83" s="119"/>
      <c r="AZ83" s="119"/>
      <c r="BA83" s="119"/>
      <c r="BB83" s="818"/>
      <c r="BC83" s="171"/>
      <c r="BD83" s="863"/>
      <c r="BE83" s="62"/>
      <c r="BF83" s="179"/>
      <c r="BG83" s="179"/>
      <c r="BH83" s="179"/>
      <c r="BI83" s="179"/>
      <c r="BJ83" s="179"/>
      <c r="BK83" s="179"/>
      <c r="BL83" s="179"/>
      <c r="BM83" s="179"/>
      <c r="BN83" s="179"/>
      <c r="BO83" s="179"/>
      <c r="BP83" s="179"/>
      <c r="BQ83" s="179"/>
      <c r="BR83" s="179"/>
      <c r="BS83" s="179"/>
      <c r="BT83" s="179"/>
      <c r="BU83" s="179"/>
      <c r="BV83" s="179"/>
      <c r="BW83" s="179"/>
      <c r="BX83" s="179"/>
      <c r="BY83" s="179"/>
      <c r="BZ83" s="179"/>
      <c r="CA83" s="179"/>
      <c r="CB83" s="179"/>
      <c r="CC83" s="179"/>
      <c r="CD83" s="179"/>
      <c r="CE83" s="179"/>
      <c r="CF83" s="179"/>
      <c r="CG83" s="179"/>
      <c r="CH83" s="179"/>
      <c r="CI83" s="179"/>
      <c r="CJ83" s="179"/>
      <c r="CK83" s="179"/>
      <c r="CL83" s="179"/>
      <c r="CM83" s="179"/>
      <c r="CN83" s="179"/>
      <c r="CO83" s="179"/>
      <c r="CP83" s="179"/>
      <c r="CQ83" s="179"/>
      <c r="CR83" s="62"/>
      <c r="CS83" s="62"/>
    </row>
    <row r="84" spans="7:97" ht="43.5" customHeight="1" thickBot="1" x14ac:dyDescent="0.3">
      <c r="G84" s="927"/>
      <c r="H84" s="43"/>
      <c r="I84" s="43"/>
      <c r="J84" s="43"/>
      <c r="K84" s="768" t="s">
        <v>181</v>
      </c>
      <c r="L84" s="768" t="s">
        <v>183</v>
      </c>
      <c r="M84" s="768" t="s">
        <v>182</v>
      </c>
      <c r="N84" s="43"/>
      <c r="O84" s="935"/>
      <c r="T84" s="109"/>
      <c r="U84" s="109"/>
      <c r="V84" s="109"/>
      <c r="W84" s="109"/>
      <c r="X84" s="109"/>
      <c r="Y84" s="109"/>
      <c r="Z84" s="109"/>
      <c r="AA84" s="109"/>
      <c r="AB84" s="109"/>
      <c r="AC84" s="109"/>
      <c r="AD84" s="109"/>
      <c r="AE84" s="109"/>
      <c r="AF84" s="109"/>
      <c r="AG84" s="109"/>
      <c r="AH84" s="109"/>
      <c r="AI84" s="109"/>
      <c r="AJ84" s="109"/>
      <c r="AK84" s="109"/>
      <c r="AL84" s="109"/>
      <c r="AM84" s="109"/>
      <c r="AN84" s="109"/>
      <c r="AO84" s="109"/>
      <c r="AQ84" s="126"/>
      <c r="AS84" s="127"/>
      <c r="AT84" s="119"/>
      <c r="AU84" s="119"/>
      <c r="AV84" s="119"/>
      <c r="AW84" s="119"/>
      <c r="AX84" s="119"/>
      <c r="AY84" s="119"/>
      <c r="AZ84" s="119"/>
      <c r="BA84" s="119"/>
      <c r="BB84" s="818"/>
      <c r="BC84" s="171"/>
      <c r="BD84" s="866" t="s">
        <v>140</v>
      </c>
      <c r="BE84" s="180" t="s">
        <v>113</v>
      </c>
      <c r="BF84" s="591" t="str">
        <f>IF(BF82=1,17,"")</f>
        <v/>
      </c>
      <c r="BG84" s="592" t="str">
        <f>IF(BG82=2,16,"")</f>
        <v/>
      </c>
      <c r="BH84" s="592" t="str">
        <f>IF(BH82=3,15,"")</f>
        <v/>
      </c>
      <c r="BI84" s="592" t="str">
        <f>IF(BI82=4,14,"")</f>
        <v/>
      </c>
      <c r="BJ84" s="592" t="str">
        <f>IF(BJ82=5,13,"")</f>
        <v/>
      </c>
      <c r="BK84" s="592" t="str">
        <f>IF(BK82=6,12,"")</f>
        <v/>
      </c>
      <c r="BL84" s="592" t="str">
        <f>IF(BL82=7,11,"")</f>
        <v/>
      </c>
      <c r="BM84" s="592" t="str">
        <f>IF(BM82=8,10,"")</f>
        <v/>
      </c>
      <c r="BN84" s="592" t="str">
        <f>IF(BN82=9,9,"")</f>
        <v/>
      </c>
      <c r="BO84" s="592" t="str">
        <f>IF(BO82=10,8,"")</f>
        <v/>
      </c>
      <c r="BP84" s="592" t="str">
        <f>IF(BP82=11,7,"")</f>
        <v/>
      </c>
      <c r="BQ84" s="733" t="str">
        <f>IF(BQ82=12,1,"")</f>
        <v/>
      </c>
      <c r="BR84" s="590" t="str">
        <f>IF(BR82=13,2,"")</f>
        <v/>
      </c>
      <c r="BS84" s="590" t="str">
        <f>IF(BS82=14,3,"")</f>
        <v/>
      </c>
      <c r="BT84" s="590" t="str">
        <f>IF(BT82=15,4,"")</f>
        <v/>
      </c>
      <c r="BU84" s="590">
        <f>IF(BU82=16,5,"")</f>
        <v>5</v>
      </c>
      <c r="BV84" s="590" t="str">
        <f>IF(BV82=17,6,"")</f>
        <v/>
      </c>
      <c r="BW84" s="590" t="str">
        <f>IF(BW82=18,7,"")</f>
        <v/>
      </c>
      <c r="BX84" s="590" t="str">
        <f>IF(BX82=19,8,"")</f>
        <v/>
      </c>
      <c r="BY84" s="590" t="str">
        <f>IF(BY82=20,9,"")</f>
        <v/>
      </c>
      <c r="BZ84" s="590" t="str">
        <f>IF(BZ82=21,10,"")</f>
        <v/>
      </c>
      <c r="CA84" s="590" t="str">
        <f>IF(CA82=22,11,"")</f>
        <v/>
      </c>
      <c r="CB84" s="590" t="str">
        <f>IF(CB82=23,12,"")</f>
        <v/>
      </c>
      <c r="CC84" s="590" t="str">
        <f>IF(CC82=24,13,"")</f>
        <v/>
      </c>
      <c r="CD84" s="590" t="str">
        <f>IF(CD82=25,14,"")</f>
        <v/>
      </c>
      <c r="CE84" s="590" t="str">
        <f>IF(CE82=26,15,"")</f>
        <v/>
      </c>
      <c r="CF84" s="590" t="str">
        <f>IF(CF82=27,16,"")</f>
        <v/>
      </c>
      <c r="CG84" s="734" t="str">
        <f>IF(CG82=28,17,"")</f>
        <v/>
      </c>
      <c r="CH84" s="599" t="str">
        <f>IF(CH82=29,9,"")</f>
        <v/>
      </c>
      <c r="CI84" s="599" t="str">
        <f>IF(CI82=30,10,"")</f>
        <v/>
      </c>
      <c r="CJ84" s="599" t="str">
        <f>IF(CJ82=31,11,"")</f>
        <v/>
      </c>
      <c r="CK84" s="599" t="str">
        <f>IF(CK82=32,12,"")</f>
        <v/>
      </c>
      <c r="CL84" s="599" t="str">
        <f>IF(CL82=33,13,"")</f>
        <v/>
      </c>
      <c r="CM84" s="599" t="str">
        <f>IF(CM82=34,14,"")</f>
        <v/>
      </c>
      <c r="CN84" s="599" t="str">
        <f>IF(CN82=35,15,"")</f>
        <v/>
      </c>
      <c r="CO84" s="599" t="str">
        <f>IF(CO82=36,16,"")</f>
        <v/>
      </c>
      <c r="CP84" s="600" t="str">
        <f>IF(CP82=37,17,"")</f>
        <v/>
      </c>
      <c r="CQ84" s="181"/>
      <c r="CR84" s="62"/>
      <c r="CS84" s="62"/>
    </row>
    <row r="85" spans="7:97" ht="43.5" customHeight="1" thickBot="1" x14ac:dyDescent="0.3">
      <c r="G85" s="927"/>
      <c r="H85" s="43"/>
      <c r="I85" s="43"/>
      <c r="J85" s="936" t="s">
        <v>205</v>
      </c>
      <c r="K85" s="780">
        <f>+MIN(J19:K20)</f>
        <v>96.038415366146467</v>
      </c>
      <c r="L85" s="780">
        <f>+$E$8/(BF49)</f>
        <v>96.038415366146467</v>
      </c>
      <c r="M85" s="780">
        <f>+MIN(K25:L26)</f>
        <v>96.038415366146467</v>
      </c>
      <c r="N85" s="43"/>
      <c r="O85" s="935"/>
      <c r="T85" s="109"/>
      <c r="U85" s="109"/>
      <c r="V85" s="109"/>
      <c r="W85" s="109"/>
      <c r="X85" s="109"/>
      <c r="Y85" s="109"/>
      <c r="Z85" s="109"/>
      <c r="AA85" s="109"/>
      <c r="AB85" s="109"/>
      <c r="AC85" s="109"/>
      <c r="AD85" s="109"/>
      <c r="AE85" s="109"/>
      <c r="AF85" s="109"/>
      <c r="AG85" s="109"/>
      <c r="AH85" s="109"/>
      <c r="AI85" s="109"/>
      <c r="AJ85" s="109"/>
      <c r="AK85" s="109"/>
      <c r="AL85" s="109"/>
      <c r="AM85" s="109"/>
      <c r="AN85" s="109"/>
      <c r="AO85" s="109"/>
      <c r="AQ85" s="126"/>
      <c r="AS85" s="127"/>
      <c r="AT85" s="119"/>
      <c r="AU85" s="119"/>
      <c r="AV85" s="119"/>
      <c r="AW85" s="119"/>
      <c r="AX85" s="119"/>
      <c r="AY85" s="119"/>
      <c r="AZ85" s="119"/>
      <c r="BA85" s="767">
        <v>5</v>
      </c>
      <c r="BB85" s="165" t="b">
        <f>AND(BD85&gt;=10,$AN$138&gt;=10,$AO$138&gt;=10)</f>
        <v>1</v>
      </c>
      <c r="BC85" s="67" t="str">
        <f>IF(BB85=TRUE,"O K","OVERLOAD")</f>
        <v>O K</v>
      </c>
      <c r="BD85" s="781">
        <f>IF(SUM(BF84:BP84)&gt;0,K85,0)+IF(SUM(BQ84:CG84)&gt;0,L85,0)+IF(SUM(CH84:CP84)&gt;0,M85,0)</f>
        <v>96.038415366146467</v>
      </c>
      <c r="BE85" s="631" t="s">
        <v>139</v>
      </c>
      <c r="BF85" s="632">
        <v>-10</v>
      </c>
      <c r="BG85" s="632">
        <v>-9</v>
      </c>
      <c r="BH85" s="632">
        <v>-8</v>
      </c>
      <c r="BI85" s="632">
        <v>-7</v>
      </c>
      <c r="BJ85" s="632">
        <v>-6</v>
      </c>
      <c r="BK85" s="632">
        <v>-5</v>
      </c>
      <c r="BL85" s="632">
        <v>-4</v>
      </c>
      <c r="BM85" s="632">
        <v>-3</v>
      </c>
      <c r="BN85" s="632">
        <v>-2</v>
      </c>
      <c r="BO85" s="632">
        <v>-1</v>
      </c>
      <c r="BP85" s="632">
        <v>0</v>
      </c>
      <c r="BQ85" s="632">
        <v>1</v>
      </c>
      <c r="BR85" s="632">
        <v>2</v>
      </c>
      <c r="BS85" s="632">
        <v>3</v>
      </c>
      <c r="BT85" s="632">
        <v>4</v>
      </c>
      <c r="BU85" s="632">
        <v>5</v>
      </c>
      <c r="BV85" s="632">
        <v>6</v>
      </c>
      <c r="BW85" s="632">
        <v>7</v>
      </c>
      <c r="BX85" s="632">
        <v>8</v>
      </c>
      <c r="BY85" s="632">
        <v>9</v>
      </c>
      <c r="BZ85" s="633">
        <v>10</v>
      </c>
      <c r="CA85" s="632">
        <v>11</v>
      </c>
      <c r="CB85" s="632">
        <v>12</v>
      </c>
      <c r="CC85" s="632">
        <v>13</v>
      </c>
      <c r="CD85" s="632">
        <v>14</v>
      </c>
      <c r="CE85" s="632">
        <v>15</v>
      </c>
      <c r="CF85" s="632">
        <v>16</v>
      </c>
      <c r="CG85" s="632">
        <v>17</v>
      </c>
      <c r="CH85" s="632">
        <v>18</v>
      </c>
      <c r="CI85" s="632">
        <v>19</v>
      </c>
      <c r="CJ85" s="632">
        <v>20</v>
      </c>
      <c r="CK85" s="632">
        <v>21</v>
      </c>
      <c r="CL85" s="632">
        <v>22</v>
      </c>
      <c r="CM85" s="632">
        <v>23</v>
      </c>
      <c r="CN85" s="632">
        <v>24</v>
      </c>
      <c r="CO85" s="632">
        <v>25</v>
      </c>
      <c r="CP85" s="634">
        <v>26</v>
      </c>
      <c r="CQ85" s="62"/>
      <c r="CR85" s="62"/>
      <c r="CS85" s="62"/>
    </row>
    <row r="86" spans="7:97" ht="21" hidden="1" thickBot="1" x14ac:dyDescent="0.25">
      <c r="G86" s="927"/>
      <c r="H86" s="43"/>
      <c r="I86" s="783">
        <v>6</v>
      </c>
      <c r="J86" s="783">
        <v>61</v>
      </c>
      <c r="K86" s="783">
        <v>62</v>
      </c>
      <c r="L86" s="783">
        <v>63</v>
      </c>
      <c r="M86" s="787">
        <v>64</v>
      </c>
      <c r="N86" s="43"/>
      <c r="O86" s="935"/>
      <c r="T86" s="109"/>
      <c r="U86" s="109"/>
      <c r="V86" s="109"/>
      <c r="W86" s="109"/>
      <c r="X86" s="109"/>
      <c r="Y86" s="109"/>
      <c r="Z86" s="109"/>
      <c r="AA86" s="109"/>
      <c r="AB86" s="109"/>
      <c r="AC86" s="109"/>
      <c r="AD86" s="109"/>
      <c r="AE86" s="109"/>
      <c r="AF86" s="109"/>
      <c r="AG86" s="109"/>
      <c r="AH86" s="109"/>
      <c r="AI86" s="109"/>
      <c r="AJ86" s="109"/>
      <c r="AK86" s="109"/>
      <c r="AL86" s="109"/>
      <c r="AM86" s="109"/>
      <c r="AN86" s="109"/>
      <c r="AO86" s="109"/>
      <c r="AQ86" s="126"/>
      <c r="AR86" s="127"/>
      <c r="AS86" s="127"/>
      <c r="AT86" s="119"/>
      <c r="AU86" s="119"/>
      <c r="AV86" s="119"/>
      <c r="AW86" s="119"/>
      <c r="AX86" s="119"/>
      <c r="AY86" s="119"/>
      <c r="AZ86" s="119"/>
      <c r="BA86" s="119"/>
      <c r="BB86" s="818"/>
      <c r="BC86" s="119"/>
      <c r="BE86" s="62"/>
      <c r="BF86" s="182">
        <v>1</v>
      </c>
      <c r="BG86" s="182">
        <v>2</v>
      </c>
      <c r="BH86" s="182">
        <v>3</v>
      </c>
      <c r="BI86" s="182">
        <v>4</v>
      </c>
      <c r="BJ86" s="182">
        <v>5</v>
      </c>
      <c r="BK86" s="182">
        <v>6</v>
      </c>
      <c r="BL86" s="182">
        <v>7</v>
      </c>
      <c r="BM86" s="182">
        <v>8</v>
      </c>
      <c r="BN86" s="182">
        <v>9</v>
      </c>
      <c r="BO86" s="182">
        <v>10</v>
      </c>
      <c r="BP86" s="182">
        <v>11</v>
      </c>
      <c r="BQ86" s="182">
        <v>12</v>
      </c>
      <c r="BR86" s="182">
        <v>13</v>
      </c>
      <c r="BS86" s="182">
        <v>14</v>
      </c>
      <c r="BT86" s="182">
        <v>15</v>
      </c>
      <c r="BU86" s="182">
        <v>16</v>
      </c>
      <c r="BV86" s="182">
        <v>17</v>
      </c>
      <c r="BW86" s="182">
        <v>18</v>
      </c>
      <c r="BX86" s="182">
        <v>19</v>
      </c>
      <c r="BY86" s="182">
        <v>20</v>
      </c>
      <c r="BZ86" s="182">
        <v>21</v>
      </c>
      <c r="CA86" s="182">
        <v>22</v>
      </c>
      <c r="CB86" s="182">
        <v>23</v>
      </c>
      <c r="CC86" s="182">
        <v>24</v>
      </c>
      <c r="CD86" s="182">
        <v>25</v>
      </c>
      <c r="CE86" s="182">
        <v>26</v>
      </c>
      <c r="CF86" s="182">
        <v>27</v>
      </c>
      <c r="CG86" s="182">
        <v>28</v>
      </c>
      <c r="CH86" s="182">
        <v>29</v>
      </c>
      <c r="CI86" s="182">
        <v>30</v>
      </c>
      <c r="CJ86" s="182">
        <v>31</v>
      </c>
      <c r="CK86" s="182">
        <v>32</v>
      </c>
      <c r="CL86" s="182">
        <v>33</v>
      </c>
      <c r="CM86" s="182">
        <v>34</v>
      </c>
      <c r="CN86" s="182">
        <v>35</v>
      </c>
      <c r="CO86" s="182">
        <v>36</v>
      </c>
      <c r="CP86" s="182">
        <v>37</v>
      </c>
      <c r="CQ86" s="182"/>
      <c r="CR86" s="62"/>
      <c r="CS86" s="62"/>
    </row>
    <row r="87" spans="7:97" ht="24" hidden="1" thickBot="1" x14ac:dyDescent="0.3">
      <c r="G87" s="927"/>
      <c r="H87" s="43"/>
      <c r="I87" s="43"/>
      <c r="J87" s="43"/>
      <c r="K87" s="43"/>
      <c r="L87" s="43"/>
      <c r="M87" s="43"/>
      <c r="N87" s="43"/>
      <c r="O87" s="935"/>
      <c r="BB87" s="165"/>
      <c r="BC87" s="69"/>
      <c r="BD87" s="11"/>
      <c r="BE87" s="79"/>
      <c r="BF87" s="80"/>
      <c r="BG87" s="80"/>
      <c r="BH87" s="80"/>
      <c r="BI87" s="80"/>
      <c r="BJ87" s="80"/>
      <c r="BK87" s="80"/>
      <c r="BL87" s="80"/>
      <c r="BM87" s="80"/>
      <c r="BN87" s="77"/>
      <c r="BO87" s="77"/>
      <c r="BP87" s="72"/>
      <c r="BQ87" s="72"/>
      <c r="BR87" s="72"/>
      <c r="BS87" s="72"/>
      <c r="BT87" s="72"/>
      <c r="BU87" s="72"/>
      <c r="BV87" s="72"/>
      <c r="BW87" s="72"/>
      <c r="BX87" s="72"/>
      <c r="BY87" s="72"/>
      <c r="BZ87" s="72"/>
      <c r="CA87" s="72"/>
      <c r="CB87" s="72"/>
      <c r="CC87" s="26"/>
      <c r="CD87" s="78"/>
      <c r="CE87" s="78"/>
      <c r="CF87" s="78"/>
      <c r="CG87" s="78"/>
      <c r="CH87" s="75"/>
      <c r="CI87" s="75"/>
      <c r="CJ87" s="75"/>
      <c r="CK87" s="75"/>
      <c r="CL87" s="75"/>
      <c r="CM87" s="75"/>
      <c r="CN87" s="75"/>
      <c r="CO87" s="75"/>
      <c r="CP87" s="75"/>
      <c r="CQ87" s="75"/>
      <c r="CR87" s="10"/>
      <c r="CS87" s="62"/>
    </row>
    <row r="88" spans="7:97" ht="24" hidden="1" thickBot="1" x14ac:dyDescent="0.3">
      <c r="G88" s="927"/>
      <c r="H88" s="43"/>
      <c r="I88" s="43"/>
      <c r="J88" s="43"/>
      <c r="K88" s="43"/>
      <c r="L88" s="43"/>
      <c r="M88" s="43"/>
      <c r="N88" s="43"/>
      <c r="O88" s="935"/>
      <c r="BB88" s="165"/>
      <c r="BC88" s="69"/>
      <c r="BD88" s="11"/>
      <c r="BE88" s="79">
        <v>36</v>
      </c>
      <c r="BF88" s="80"/>
      <c r="BG88" s="80"/>
      <c r="BH88" s="80"/>
      <c r="BI88" s="80"/>
      <c r="BJ88" s="80"/>
      <c r="BK88" s="80"/>
      <c r="BL88" s="80"/>
      <c r="BM88" s="80"/>
      <c r="BN88" s="77"/>
      <c r="BO88" s="77"/>
      <c r="BP88" s="72"/>
      <c r="BQ88" s="72"/>
      <c r="BR88" s="72"/>
      <c r="BS88" s="72"/>
      <c r="BT88" s="72"/>
      <c r="BU88" s="72"/>
      <c r="BV88" s="72"/>
      <c r="BW88" s="81"/>
      <c r="BX88" s="82"/>
      <c r="BY88" s="83"/>
      <c r="BZ88" s="72"/>
      <c r="CA88" s="72"/>
      <c r="CB88" s="72"/>
      <c r="CC88" s="26"/>
      <c r="CD88" s="78"/>
      <c r="CE88" s="78"/>
      <c r="CF88" s="78"/>
      <c r="CG88" s="78"/>
      <c r="CH88" s="75"/>
      <c r="CI88" s="75"/>
      <c r="CJ88" s="75"/>
      <c r="CK88" s="75"/>
      <c r="CL88" s="75"/>
      <c r="CM88" s="75"/>
      <c r="CN88" s="84" t="b">
        <f>IF(CO81=36,35)</f>
        <v>0</v>
      </c>
      <c r="CO88" s="85"/>
      <c r="CP88" s="86" t="b">
        <f>IF(CO81=36,37)</f>
        <v>0</v>
      </c>
      <c r="CQ88" s="75"/>
      <c r="CR88" s="10"/>
      <c r="CS88" s="62"/>
    </row>
    <row r="89" spans="7:97" ht="24" hidden="1" thickBot="1" x14ac:dyDescent="0.3">
      <c r="G89" s="927"/>
      <c r="H89" s="43"/>
      <c r="I89" s="43"/>
      <c r="J89" s="43"/>
      <c r="K89" s="43"/>
      <c r="L89" s="43"/>
      <c r="M89" s="43"/>
      <c r="N89" s="43"/>
      <c r="O89" s="935"/>
      <c r="BB89" s="165"/>
      <c r="BC89" s="69"/>
      <c r="BD89" s="11"/>
      <c r="BE89" s="79">
        <v>35</v>
      </c>
      <c r="BF89" s="80"/>
      <c r="BG89" s="80"/>
      <c r="BH89" s="80"/>
      <c r="BI89" s="80"/>
      <c r="BJ89" s="80"/>
      <c r="BK89" s="80"/>
      <c r="BL89" s="80"/>
      <c r="BM89" s="80"/>
      <c r="BN89" s="77"/>
      <c r="BO89" s="77"/>
      <c r="BP89" s="72"/>
      <c r="BQ89" s="72"/>
      <c r="BR89" s="72"/>
      <c r="BS89" s="72"/>
      <c r="BT89" s="72"/>
      <c r="BU89" s="72"/>
      <c r="BV89" s="72"/>
      <c r="BW89" s="87"/>
      <c r="BX89" s="72"/>
      <c r="BY89" s="88"/>
      <c r="BZ89" s="72"/>
      <c r="CA89" s="72"/>
      <c r="CB89" s="72"/>
      <c r="CC89" s="26"/>
      <c r="CD89" s="78"/>
      <c r="CE89" s="78"/>
      <c r="CF89" s="78"/>
      <c r="CG89" s="78"/>
      <c r="CH89" s="75"/>
      <c r="CI89" s="75"/>
      <c r="CJ89" s="75"/>
      <c r="CK89" s="75"/>
      <c r="CL89" s="84" t="b">
        <f>IF(CN81=35,33)</f>
        <v>0</v>
      </c>
      <c r="CM89" s="85"/>
      <c r="CN89" s="85"/>
      <c r="CO89" s="85"/>
      <c r="CP89" s="86" t="b">
        <f>IF(CN81=35,37)</f>
        <v>0</v>
      </c>
      <c r="CQ89" s="75"/>
      <c r="CR89" s="10"/>
      <c r="CS89" s="62"/>
    </row>
    <row r="90" spans="7:97" ht="24" hidden="1" thickBot="1" x14ac:dyDescent="0.3">
      <c r="G90" s="927"/>
      <c r="H90" s="43"/>
      <c r="I90" s="43"/>
      <c r="J90" s="43"/>
      <c r="K90" s="43"/>
      <c r="L90" s="43"/>
      <c r="M90" s="43"/>
      <c r="N90" s="43"/>
      <c r="O90" s="935"/>
      <c r="BB90" s="165"/>
      <c r="BC90" s="69"/>
      <c r="BD90" s="11"/>
      <c r="BE90" s="79">
        <v>34</v>
      </c>
      <c r="BF90" s="80"/>
      <c r="BG90" s="80"/>
      <c r="BH90" s="80"/>
      <c r="BI90" s="80"/>
      <c r="BJ90" s="80"/>
      <c r="BK90" s="80"/>
      <c r="BL90" s="80"/>
      <c r="BM90" s="80"/>
      <c r="BN90" s="77"/>
      <c r="BO90" s="77"/>
      <c r="BP90" s="72"/>
      <c r="BQ90" s="72"/>
      <c r="BR90" s="72"/>
      <c r="BS90" s="72"/>
      <c r="BT90" s="72"/>
      <c r="BU90" s="72"/>
      <c r="BV90" s="72"/>
      <c r="BW90" s="87"/>
      <c r="BX90" s="72"/>
      <c r="BY90" s="88"/>
      <c r="BZ90" s="72"/>
      <c r="CA90" s="72"/>
      <c r="CB90" s="72"/>
      <c r="CC90" s="26"/>
      <c r="CD90" s="78"/>
      <c r="CE90" s="78"/>
      <c r="CF90" s="78"/>
      <c r="CG90" s="78"/>
      <c r="CH90" s="75"/>
      <c r="CI90" s="75"/>
      <c r="CJ90" s="84" t="b">
        <f>IF(CM81=34,31)</f>
        <v>0</v>
      </c>
      <c r="CK90" s="85"/>
      <c r="CL90" s="85"/>
      <c r="CM90" s="85"/>
      <c r="CN90" s="85"/>
      <c r="CO90" s="85"/>
      <c r="CP90" s="86" t="b">
        <f>IF(CM81=34,37)</f>
        <v>0</v>
      </c>
      <c r="CQ90" s="75"/>
      <c r="CR90" s="10"/>
      <c r="CS90" s="62"/>
    </row>
    <row r="91" spans="7:97" ht="24" hidden="1" thickBot="1" x14ac:dyDescent="0.3">
      <c r="G91" s="927"/>
      <c r="H91" s="43"/>
      <c r="I91" s="43"/>
      <c r="J91" s="43"/>
      <c r="K91" s="43"/>
      <c r="L91" s="43"/>
      <c r="M91" s="43"/>
      <c r="N91" s="43"/>
      <c r="O91" s="935"/>
      <c r="BB91" s="165"/>
      <c r="BC91" s="69"/>
      <c r="BD91" s="11"/>
      <c r="BE91" s="79">
        <v>33</v>
      </c>
      <c r="BF91" s="80"/>
      <c r="BG91" s="80"/>
      <c r="BH91" s="80"/>
      <c r="BI91" s="80"/>
      <c r="BJ91" s="80"/>
      <c r="BK91" s="80"/>
      <c r="BL91" s="80"/>
      <c r="BM91" s="80"/>
      <c r="BN91" s="77"/>
      <c r="BO91" s="77"/>
      <c r="BP91" s="72"/>
      <c r="BQ91" s="72"/>
      <c r="BR91" s="72"/>
      <c r="BS91" s="72"/>
      <c r="BT91" s="72"/>
      <c r="BU91" s="72"/>
      <c r="BV91" s="72"/>
      <c r="BW91" s="87"/>
      <c r="BX91" s="72"/>
      <c r="BY91" s="88"/>
      <c r="BZ91" s="72"/>
      <c r="CA91" s="72"/>
      <c r="CB91" s="72"/>
      <c r="CC91" s="26"/>
      <c r="CD91" s="78"/>
      <c r="CE91" s="78"/>
      <c r="CF91" s="78"/>
      <c r="CG91" s="78"/>
      <c r="CH91" s="84" t="b">
        <f>IF(CL81=33,29)</f>
        <v>0</v>
      </c>
      <c r="CI91" s="85"/>
      <c r="CJ91" s="85"/>
      <c r="CK91" s="85"/>
      <c r="CL91" s="85"/>
      <c r="CM91" s="85"/>
      <c r="CN91" s="85"/>
      <c r="CO91" s="85"/>
      <c r="CP91" s="86" t="b">
        <f>IF(CL81=33,37)</f>
        <v>0</v>
      </c>
      <c r="CQ91" s="75"/>
      <c r="CR91" s="10"/>
      <c r="CS91" s="62"/>
    </row>
    <row r="92" spans="7:97" ht="21" hidden="1" thickBot="1" x14ac:dyDescent="0.25">
      <c r="G92" s="927"/>
      <c r="H92" s="43"/>
      <c r="I92" s="43"/>
      <c r="J92" s="43"/>
      <c r="K92" s="43"/>
      <c r="L92" s="43"/>
      <c r="M92" s="43"/>
      <c r="N92" s="43"/>
      <c r="O92" s="935"/>
      <c r="AR92" s="89"/>
      <c r="AS92" s="89"/>
      <c r="BB92" s="165"/>
      <c r="BC92" s="69"/>
      <c r="BE92" s="79">
        <v>32</v>
      </c>
      <c r="BF92" s="90"/>
      <c r="BG92" s="90"/>
      <c r="BH92" s="90"/>
      <c r="BI92" s="90"/>
      <c r="BJ92" s="90"/>
      <c r="BK92" s="91"/>
      <c r="BL92" s="90"/>
      <c r="BM92" s="90"/>
      <c r="BN92" s="90"/>
      <c r="BO92" s="90"/>
      <c r="BP92" s="90"/>
      <c r="BQ92" s="90"/>
      <c r="BR92" s="90"/>
      <c r="BS92" s="90"/>
      <c r="BT92" s="90"/>
      <c r="BU92" s="90"/>
      <c r="BV92" s="90"/>
      <c r="BW92" s="92"/>
      <c r="BX92" s="90"/>
      <c r="BY92" s="93"/>
      <c r="BZ92" s="90"/>
      <c r="CA92" s="90"/>
      <c r="CB92" s="90"/>
      <c r="CC92" s="91"/>
      <c r="CD92" s="62"/>
      <c r="CE92" s="62"/>
      <c r="CF92" s="84" t="b">
        <f>IF(CK81=32,27)</f>
        <v>0</v>
      </c>
      <c r="CG92" s="94"/>
      <c r="CH92" s="94"/>
      <c r="CI92" s="94"/>
      <c r="CJ92" s="94"/>
      <c r="CK92" s="94"/>
      <c r="CL92" s="94"/>
      <c r="CM92" s="94"/>
      <c r="CN92" s="94"/>
      <c r="CO92" s="94"/>
      <c r="CP92" s="86" t="b">
        <f>IF(CK81=32,37)</f>
        <v>0</v>
      </c>
      <c r="CQ92" s="62"/>
      <c r="CR92" s="62"/>
      <c r="CS92" s="62"/>
    </row>
    <row r="93" spans="7:97" ht="21" hidden="1" thickBot="1" x14ac:dyDescent="0.25">
      <c r="G93" s="927"/>
      <c r="H93" s="43"/>
      <c r="I93" s="43"/>
      <c r="J93" s="43"/>
      <c r="K93" s="43"/>
      <c r="L93" s="43"/>
      <c r="M93" s="43"/>
      <c r="N93" s="43"/>
      <c r="O93" s="935"/>
      <c r="AR93" s="89"/>
      <c r="AS93" s="89"/>
      <c r="BB93" s="165"/>
      <c r="BC93" s="69"/>
      <c r="BE93" s="79">
        <v>31</v>
      </c>
      <c r="BF93" s="90"/>
      <c r="BG93" s="90"/>
      <c r="BH93" s="90"/>
      <c r="BI93" s="90"/>
      <c r="BJ93" s="90"/>
      <c r="BK93" s="91"/>
      <c r="BL93" s="90"/>
      <c r="BM93" s="90"/>
      <c r="BN93" s="90"/>
      <c r="BO93" s="90"/>
      <c r="BP93" s="90"/>
      <c r="BQ93" s="90"/>
      <c r="BR93" s="90"/>
      <c r="BS93" s="90"/>
      <c r="BT93" s="90"/>
      <c r="BU93" s="90"/>
      <c r="BV93" s="90"/>
      <c r="BW93" s="92"/>
      <c r="BX93" s="90"/>
      <c r="BY93" s="93"/>
      <c r="BZ93" s="90"/>
      <c r="CA93" s="90"/>
      <c r="CB93" s="90"/>
      <c r="CC93" s="91"/>
      <c r="CD93" s="84" t="b">
        <f>IF(CJ81=31,25)</f>
        <v>0</v>
      </c>
      <c r="CE93" s="94"/>
      <c r="CF93" s="94"/>
      <c r="CG93" s="94"/>
      <c r="CH93" s="94"/>
      <c r="CI93" s="94"/>
      <c r="CJ93" s="94"/>
      <c r="CK93" s="94"/>
      <c r="CL93" s="94"/>
      <c r="CM93" s="94"/>
      <c r="CN93" s="94"/>
      <c r="CO93" s="94"/>
      <c r="CP93" s="86" t="b">
        <f>IF(CJ81=31,37)</f>
        <v>0</v>
      </c>
      <c r="CQ93" s="62"/>
      <c r="CR93" s="62"/>
      <c r="CS93" s="62"/>
    </row>
    <row r="94" spans="7:97" ht="21" hidden="1" thickBot="1" x14ac:dyDescent="0.25">
      <c r="G94" s="927"/>
      <c r="H94" s="43"/>
      <c r="I94" s="43"/>
      <c r="J94" s="43"/>
      <c r="K94" s="43"/>
      <c r="L94" s="43"/>
      <c r="M94" s="43"/>
      <c r="N94" s="43"/>
      <c r="O94" s="935"/>
      <c r="AR94" s="89"/>
      <c r="AS94" s="89"/>
      <c r="BB94" s="165"/>
      <c r="BC94" s="69"/>
      <c r="BE94" s="79">
        <v>30</v>
      </c>
      <c r="BF94" s="90"/>
      <c r="BG94" s="90"/>
      <c r="BH94" s="90"/>
      <c r="BI94" s="90"/>
      <c r="BJ94" s="90"/>
      <c r="BK94" s="91"/>
      <c r="BL94" s="90"/>
      <c r="BM94" s="90"/>
      <c r="BN94" s="90"/>
      <c r="BO94" s="90"/>
      <c r="BP94" s="90"/>
      <c r="BQ94" s="90"/>
      <c r="BR94" s="90"/>
      <c r="BS94" s="90"/>
      <c r="BT94" s="90"/>
      <c r="BU94" s="90"/>
      <c r="BV94" s="90"/>
      <c r="BW94" s="92"/>
      <c r="BX94" s="90"/>
      <c r="BY94" s="93"/>
      <c r="BZ94" s="90"/>
      <c r="CA94" s="90"/>
      <c r="CB94" s="84" t="b">
        <f>IF(CI81=30,23)</f>
        <v>0</v>
      </c>
      <c r="CC94" s="95"/>
      <c r="CD94" s="94"/>
      <c r="CE94" s="94"/>
      <c r="CF94" s="94"/>
      <c r="CG94" s="94"/>
      <c r="CH94" s="94"/>
      <c r="CI94" s="94"/>
      <c r="CJ94" s="94"/>
      <c r="CK94" s="94"/>
      <c r="CL94" s="94"/>
      <c r="CM94" s="94"/>
      <c r="CN94" s="94"/>
      <c r="CO94" s="94"/>
      <c r="CP94" s="86" t="b">
        <f>IF(CI81=30,37)</f>
        <v>0</v>
      </c>
      <c r="CQ94" s="62"/>
      <c r="CR94" s="62"/>
      <c r="CS94" s="62"/>
    </row>
    <row r="95" spans="7:97" ht="21" hidden="1" thickBot="1" x14ac:dyDescent="0.25">
      <c r="G95" s="927"/>
      <c r="H95" s="43"/>
      <c r="I95" s="43"/>
      <c r="J95" s="43"/>
      <c r="K95" s="43"/>
      <c r="L95" s="43"/>
      <c r="M95" s="43"/>
      <c r="N95" s="43"/>
      <c r="O95" s="935"/>
      <c r="AT95" s="96"/>
      <c r="AU95" s="96"/>
      <c r="AV95" s="96"/>
      <c r="AW95" s="96"/>
      <c r="BB95" s="165"/>
      <c r="BC95" s="69"/>
      <c r="BD95" s="97"/>
      <c r="BE95" s="79">
        <v>29</v>
      </c>
      <c r="BF95" s="62"/>
      <c r="BG95" s="62"/>
      <c r="BH95" s="62"/>
      <c r="BI95" s="62"/>
      <c r="BJ95" s="62"/>
      <c r="BK95" s="62"/>
      <c r="BL95" s="62"/>
      <c r="BM95" s="62"/>
      <c r="BN95" s="62"/>
      <c r="BO95" s="62"/>
      <c r="BP95" s="62"/>
      <c r="BQ95" s="62"/>
      <c r="BR95" s="62"/>
      <c r="BS95" s="62"/>
      <c r="BT95" s="62"/>
      <c r="BU95" s="62"/>
      <c r="BV95" s="62"/>
      <c r="BW95" s="98"/>
      <c r="BX95" s="62"/>
      <c r="BY95" s="99"/>
      <c r="BZ95" s="100" t="b">
        <f>IF(CH81=29,21)</f>
        <v>0</v>
      </c>
      <c r="CA95" s="94"/>
      <c r="CB95" s="94"/>
      <c r="CC95" s="94"/>
      <c r="CD95" s="94"/>
      <c r="CE95" s="94"/>
      <c r="CF95" s="94"/>
      <c r="CG95" s="101"/>
      <c r="CH95" s="94"/>
      <c r="CI95" s="101"/>
      <c r="CJ95" s="102"/>
      <c r="CK95" s="102"/>
      <c r="CL95" s="102"/>
      <c r="CM95" s="102"/>
      <c r="CN95" s="102"/>
      <c r="CO95" s="102"/>
      <c r="CP95" s="86" t="b">
        <f>IF(CH81=29,37)</f>
        <v>0</v>
      </c>
      <c r="CQ95" s="60"/>
      <c r="CR95" s="62"/>
      <c r="CS95" s="62"/>
    </row>
    <row r="96" spans="7:97" ht="21" hidden="1" thickBot="1" x14ac:dyDescent="0.25">
      <c r="G96" s="927"/>
      <c r="H96" s="43"/>
      <c r="I96" s="43"/>
      <c r="J96" s="43"/>
      <c r="K96" s="43"/>
      <c r="L96" s="43"/>
      <c r="M96" s="43"/>
      <c r="N96" s="43"/>
      <c r="O96" s="935"/>
      <c r="AT96" s="96"/>
      <c r="AU96" s="96"/>
      <c r="AV96" s="96"/>
      <c r="AW96" s="96"/>
      <c r="BB96" s="165"/>
      <c r="BC96" s="69"/>
      <c r="BD96" s="97"/>
      <c r="BE96" s="79">
        <v>28</v>
      </c>
      <c r="BF96" s="62"/>
      <c r="BG96" s="62"/>
      <c r="BH96" s="62"/>
      <c r="BI96" s="62"/>
      <c r="BJ96" s="62"/>
      <c r="BK96" s="62"/>
      <c r="BL96" s="62"/>
      <c r="BM96" s="62"/>
      <c r="BN96" s="62"/>
      <c r="BO96" s="62"/>
      <c r="BP96" s="62"/>
      <c r="BQ96" s="62"/>
      <c r="BR96" s="62"/>
      <c r="BS96" s="62"/>
      <c r="BT96" s="62"/>
      <c r="BU96" s="62"/>
      <c r="BV96" s="62"/>
      <c r="BW96" s="98"/>
      <c r="BX96" s="62"/>
      <c r="BY96" s="99"/>
      <c r="BZ96" s="103" t="b">
        <f>IF(CG81=28,21)</f>
        <v>0</v>
      </c>
      <c r="CA96" s="104"/>
      <c r="CB96" s="104"/>
      <c r="CC96" s="104"/>
      <c r="CD96" s="104"/>
      <c r="CE96" s="105"/>
      <c r="CF96" s="104"/>
      <c r="CG96" s="104"/>
      <c r="CH96" s="104"/>
      <c r="CI96" s="105"/>
      <c r="CJ96" s="106"/>
      <c r="CK96" s="106"/>
      <c r="CL96" s="106"/>
      <c r="CM96" s="106"/>
      <c r="CN96" s="107" t="b">
        <f>IF(CG81=28,35)</f>
        <v>0</v>
      </c>
      <c r="CO96" s="60"/>
      <c r="CP96" s="60"/>
      <c r="CQ96" s="60"/>
      <c r="CR96" s="62"/>
      <c r="CS96" s="62"/>
    </row>
    <row r="97" spans="5:97" ht="21" hidden="1" thickBot="1" x14ac:dyDescent="0.25">
      <c r="G97" s="927"/>
      <c r="H97" s="43"/>
      <c r="I97" s="43"/>
      <c r="J97" s="43"/>
      <c r="K97" s="43"/>
      <c r="L97" s="43"/>
      <c r="M97" s="43"/>
      <c r="N97" s="43"/>
      <c r="O97" s="935"/>
      <c r="AR97" s="96"/>
      <c r="AS97" s="96"/>
      <c r="AT97" s="96"/>
      <c r="AU97" s="96"/>
      <c r="AV97" s="96"/>
      <c r="AW97" s="96"/>
      <c r="BB97" s="165"/>
      <c r="BC97" s="69"/>
      <c r="BD97" s="97"/>
      <c r="BE97" s="79">
        <v>27</v>
      </c>
      <c r="BF97" s="62"/>
      <c r="BG97" s="62"/>
      <c r="BH97" s="62"/>
      <c r="BI97" s="62"/>
      <c r="BJ97" s="62"/>
      <c r="BK97" s="62"/>
      <c r="BL97" s="62"/>
      <c r="BM97" s="62"/>
      <c r="BN97" s="62"/>
      <c r="BO97" s="62"/>
      <c r="BP97" s="62"/>
      <c r="BQ97" s="62"/>
      <c r="BR97" s="62"/>
      <c r="BS97" s="62"/>
      <c r="BT97" s="62"/>
      <c r="BU97" s="62"/>
      <c r="BV97" s="62"/>
      <c r="BW97" s="98"/>
      <c r="BX97" s="62"/>
      <c r="BY97" s="99"/>
      <c r="BZ97" s="103" t="b">
        <f>IF(CF81=27,21)</f>
        <v>0</v>
      </c>
      <c r="CA97" s="104"/>
      <c r="CB97" s="104"/>
      <c r="CC97" s="105"/>
      <c r="CD97" s="104"/>
      <c r="CE97" s="104"/>
      <c r="CF97" s="104"/>
      <c r="CG97" s="104"/>
      <c r="CH97" s="104"/>
      <c r="CI97" s="105"/>
      <c r="CJ97" s="106"/>
      <c r="CK97" s="106"/>
      <c r="CL97" s="107" t="b">
        <f>IF(CF81=27,33)</f>
        <v>0</v>
      </c>
      <c r="CM97" s="60"/>
      <c r="CN97" s="60"/>
      <c r="CO97" s="60"/>
      <c r="CP97" s="60"/>
      <c r="CQ97" s="60"/>
      <c r="CR97" s="62"/>
      <c r="CS97" s="62"/>
    </row>
    <row r="98" spans="5:97" ht="21" hidden="1" thickBot="1" x14ac:dyDescent="0.25">
      <c r="G98" s="927"/>
      <c r="H98" s="43"/>
      <c r="I98" s="43"/>
      <c r="J98" s="43"/>
      <c r="K98" s="43"/>
      <c r="L98" s="43"/>
      <c r="M98" s="43"/>
      <c r="N98" s="43"/>
      <c r="O98" s="935"/>
      <c r="U98" s="108"/>
      <c r="V98" s="109"/>
      <c r="W98" s="109"/>
      <c r="X98" s="109"/>
      <c r="Y98" s="109"/>
      <c r="Z98" s="109"/>
      <c r="AA98" s="109"/>
      <c r="AB98" s="109"/>
      <c r="AC98" s="109"/>
      <c r="AD98" s="109"/>
      <c r="AE98" s="109"/>
      <c r="AF98" s="109"/>
      <c r="AG98" s="109"/>
      <c r="AH98" s="109"/>
      <c r="AI98" s="109"/>
      <c r="AJ98" s="109"/>
      <c r="AK98" s="109"/>
      <c r="AL98" s="109"/>
      <c r="AM98" s="109"/>
      <c r="AN98" s="109"/>
      <c r="AO98" s="109"/>
      <c r="BB98" s="165"/>
      <c r="BC98" s="69"/>
      <c r="BE98" s="79">
        <v>26</v>
      </c>
      <c r="BF98" s="62"/>
      <c r="BG98" s="62"/>
      <c r="BH98" s="62"/>
      <c r="BI98" s="62"/>
      <c r="BJ98" s="62"/>
      <c r="BK98" s="62"/>
      <c r="BL98" s="62"/>
      <c r="BM98" s="62"/>
      <c r="BN98" s="62"/>
      <c r="BO98" s="62"/>
      <c r="BP98" s="62"/>
      <c r="BQ98" s="62"/>
      <c r="BR98" s="62"/>
      <c r="BS98" s="62"/>
      <c r="BT98" s="62"/>
      <c r="BU98" s="62"/>
      <c r="BV98" s="62"/>
      <c r="BW98" s="98"/>
      <c r="BX98" s="62"/>
      <c r="BY98" s="99"/>
      <c r="BZ98" s="103" t="b">
        <f>IF(CE81=26,21)</f>
        <v>0</v>
      </c>
      <c r="CA98" s="105"/>
      <c r="CB98" s="104"/>
      <c r="CC98" s="104"/>
      <c r="CD98" s="104"/>
      <c r="CE98" s="104"/>
      <c r="CF98" s="104"/>
      <c r="CG98" s="104"/>
      <c r="CH98" s="104"/>
      <c r="CI98" s="105"/>
      <c r="CJ98" s="107" t="b">
        <f>IF(CE81=26,31)</f>
        <v>0</v>
      </c>
      <c r="CK98" s="60"/>
      <c r="CL98" s="60"/>
      <c r="CM98" s="60"/>
      <c r="CN98" s="60"/>
      <c r="CO98" s="60"/>
      <c r="CP98" s="60"/>
      <c r="CQ98" s="60"/>
      <c r="CR98" s="62"/>
      <c r="CS98" s="62"/>
    </row>
    <row r="99" spans="5:97" ht="21" hidden="1" thickBot="1" x14ac:dyDescent="0.25">
      <c r="E99" s="110"/>
      <c r="F99" s="110"/>
      <c r="G99" s="927"/>
      <c r="H99" s="43"/>
      <c r="I99" s="43"/>
      <c r="J99" s="43"/>
      <c r="K99" s="43"/>
      <c r="L99" s="43"/>
      <c r="M99" s="43"/>
      <c r="N99" s="43"/>
      <c r="O99" s="935"/>
      <c r="U99" s="108"/>
      <c r="V99" s="109"/>
      <c r="W99" s="109"/>
      <c r="X99" s="109"/>
      <c r="Y99" s="109"/>
      <c r="Z99" s="109"/>
      <c r="AA99" s="109"/>
      <c r="AB99" s="109"/>
      <c r="AC99" s="109"/>
      <c r="AD99" s="109"/>
      <c r="AE99" s="109"/>
      <c r="AF99" s="109"/>
      <c r="AG99" s="109"/>
      <c r="AH99" s="109"/>
      <c r="AI99" s="109"/>
      <c r="AJ99" s="109"/>
      <c r="AK99" s="109"/>
      <c r="AL99" s="109"/>
      <c r="AM99" s="109"/>
      <c r="AN99" s="109"/>
      <c r="AO99" s="109"/>
      <c r="AT99" s="109"/>
      <c r="AU99" s="109"/>
      <c r="AV99" s="109"/>
      <c r="AW99" s="109"/>
      <c r="BB99" s="165"/>
      <c r="BC99" s="69"/>
      <c r="BD99" s="109"/>
      <c r="BE99" s="79">
        <v>25</v>
      </c>
      <c r="BF99" s="62"/>
      <c r="BG99" s="62"/>
      <c r="BH99" s="62"/>
      <c r="BI99" s="62"/>
      <c r="BJ99" s="62"/>
      <c r="BK99" s="62"/>
      <c r="BL99" s="62"/>
      <c r="BM99" s="62"/>
      <c r="BN99" s="62"/>
      <c r="BO99" s="62"/>
      <c r="BP99" s="62"/>
      <c r="BR99" s="62"/>
      <c r="BS99" s="62"/>
      <c r="BT99" s="62"/>
      <c r="BU99" s="62"/>
      <c r="BV99" s="62"/>
      <c r="BW99" s="98"/>
      <c r="BX99" s="62"/>
      <c r="BZ99" s="111" t="b">
        <f>IF(CD81=25,21)</f>
        <v>0</v>
      </c>
      <c r="CA99" s="104"/>
      <c r="CB99" s="104"/>
      <c r="CC99" s="104"/>
      <c r="CD99" s="104"/>
      <c r="CE99" s="104"/>
      <c r="CF99" s="104"/>
      <c r="CG99" s="104"/>
      <c r="CH99" s="107" t="b">
        <f>IF(CD81=25,29)</f>
        <v>0</v>
      </c>
      <c r="CJ99" s="60"/>
      <c r="CK99" s="60"/>
      <c r="CL99" s="60"/>
      <c r="CM99" s="60"/>
      <c r="CN99" s="60"/>
      <c r="CO99" s="60"/>
      <c r="CP99" s="60"/>
      <c r="CQ99" s="60"/>
      <c r="CR99" s="62"/>
      <c r="CS99" s="62"/>
    </row>
    <row r="100" spans="5:97" ht="21" hidden="1" thickBot="1" x14ac:dyDescent="0.25">
      <c r="E100" s="110"/>
      <c r="F100" s="110"/>
      <c r="G100" s="927"/>
      <c r="H100" s="43"/>
      <c r="I100" s="43"/>
      <c r="J100" s="43"/>
      <c r="K100" s="43"/>
      <c r="L100" s="43"/>
      <c r="M100" s="43"/>
      <c r="N100" s="43"/>
      <c r="O100" s="935"/>
      <c r="U100" s="108"/>
      <c r="V100" s="109"/>
      <c r="W100" s="109"/>
      <c r="X100" s="109"/>
      <c r="Y100" s="109"/>
      <c r="Z100" s="109"/>
      <c r="AA100" s="109"/>
      <c r="AB100" s="109"/>
      <c r="AC100" s="109"/>
      <c r="AD100" s="109"/>
      <c r="AE100" s="109"/>
      <c r="AF100" s="109"/>
      <c r="AG100" s="109"/>
      <c r="AH100" s="109"/>
      <c r="AI100" s="109"/>
      <c r="AJ100" s="109"/>
      <c r="AK100" s="109"/>
      <c r="AL100" s="109"/>
      <c r="AM100" s="109"/>
      <c r="AN100" s="109"/>
      <c r="AO100" s="109"/>
      <c r="AT100" s="109"/>
      <c r="AU100" s="109"/>
      <c r="AV100" s="109"/>
      <c r="AW100" s="109"/>
      <c r="BB100" s="165"/>
      <c r="BC100" s="69"/>
      <c r="BD100" s="109"/>
      <c r="BE100" s="79">
        <v>24</v>
      </c>
      <c r="BF100" s="62"/>
      <c r="BG100" s="62"/>
      <c r="BH100" s="62"/>
      <c r="BI100" s="62"/>
      <c r="BJ100" s="62"/>
      <c r="BK100" s="62"/>
      <c r="BL100" s="62"/>
      <c r="BM100" s="62"/>
      <c r="BN100" s="62"/>
      <c r="BO100" s="62"/>
      <c r="BP100" s="62"/>
      <c r="BQ100" s="100" t="b">
        <f>IF(CC81=24,12)</f>
        <v>0</v>
      </c>
      <c r="BR100" s="94"/>
      <c r="BS100" s="94"/>
      <c r="BT100" s="94"/>
      <c r="BU100" s="94"/>
      <c r="BV100" s="94"/>
      <c r="BW100" s="101"/>
      <c r="BX100" s="94"/>
      <c r="BY100" s="112"/>
      <c r="BZ100" s="94"/>
      <c r="CA100" s="94"/>
      <c r="CB100" s="94"/>
      <c r="CC100" s="94"/>
      <c r="CD100" s="94"/>
      <c r="CE100" s="94"/>
      <c r="CF100" s="94"/>
      <c r="CG100" s="94"/>
      <c r="CH100" s="94"/>
      <c r="CI100" s="101"/>
      <c r="CJ100" s="102"/>
      <c r="CK100" s="102"/>
      <c r="CL100" s="102"/>
      <c r="CM100" s="102"/>
      <c r="CN100" s="102"/>
      <c r="CO100" s="86" t="b">
        <f>IF(CC81=24,36)</f>
        <v>0</v>
      </c>
      <c r="CP100" s="60"/>
      <c r="CQ100" s="60"/>
      <c r="CR100" s="62"/>
      <c r="CS100" s="62"/>
    </row>
    <row r="101" spans="5:97" ht="21" hidden="1" thickBot="1" x14ac:dyDescent="0.25">
      <c r="E101" s="113"/>
      <c r="F101" s="113"/>
      <c r="G101" s="927"/>
      <c r="H101" s="43"/>
      <c r="I101" s="43"/>
      <c r="J101" s="43"/>
      <c r="K101" s="43"/>
      <c r="L101" s="43"/>
      <c r="M101" s="43"/>
      <c r="N101" s="43"/>
      <c r="O101" s="935"/>
      <c r="U101" s="114"/>
      <c r="V101" s="109"/>
      <c r="W101" s="109"/>
      <c r="X101" s="109"/>
      <c r="Y101" s="109"/>
      <c r="Z101" s="109"/>
      <c r="AA101" s="109"/>
      <c r="AB101" s="109"/>
      <c r="AC101" s="109"/>
      <c r="AD101" s="109"/>
      <c r="AE101" s="109"/>
      <c r="AF101" s="109"/>
      <c r="AG101" s="109"/>
      <c r="AH101" s="109"/>
      <c r="AI101" s="109"/>
      <c r="AJ101" s="109"/>
      <c r="AK101" s="109"/>
      <c r="AL101" s="109"/>
      <c r="AM101" s="109"/>
      <c r="AN101" s="109"/>
      <c r="AO101" s="109"/>
      <c r="AT101" s="109"/>
      <c r="AU101" s="109"/>
      <c r="AV101" s="109"/>
      <c r="AW101" s="109"/>
      <c r="BB101" s="165"/>
      <c r="BC101" s="69"/>
      <c r="BD101" s="109"/>
      <c r="BE101" s="79">
        <v>23</v>
      </c>
      <c r="BF101" s="62"/>
      <c r="BG101" s="62"/>
      <c r="BH101" s="62"/>
      <c r="BI101" s="62"/>
      <c r="BJ101" s="62"/>
      <c r="BK101" s="62"/>
      <c r="BL101" s="62"/>
      <c r="BM101" s="62"/>
      <c r="BN101" s="62"/>
      <c r="BO101" s="62"/>
      <c r="BP101" s="62"/>
      <c r="BQ101" s="103" t="b">
        <f>IF(CB81=23,12)</f>
        <v>0</v>
      </c>
      <c r="BR101" s="104"/>
      <c r="BS101" s="104"/>
      <c r="BT101" s="104"/>
      <c r="BU101" s="105"/>
      <c r="BV101" s="104"/>
      <c r="BW101" s="115"/>
      <c r="BX101" s="104"/>
      <c r="BY101" s="116"/>
      <c r="BZ101" s="104"/>
      <c r="CA101" s="104"/>
      <c r="CB101" s="104"/>
      <c r="CC101" s="104"/>
      <c r="CD101" s="104"/>
      <c r="CE101" s="104"/>
      <c r="CF101" s="104"/>
      <c r="CG101" s="104"/>
      <c r="CH101" s="104"/>
      <c r="CI101" s="105"/>
      <c r="CJ101" s="106"/>
      <c r="CK101" s="106"/>
      <c r="CL101" s="106"/>
      <c r="CM101" s="107" t="b">
        <f>IF(CB81=23,34)</f>
        <v>0</v>
      </c>
      <c r="CN101" s="60"/>
      <c r="CO101" s="60"/>
      <c r="CP101" s="60"/>
      <c r="CQ101" s="60"/>
      <c r="CR101" s="62"/>
      <c r="CS101" s="62"/>
    </row>
    <row r="102" spans="5:97" ht="21" hidden="1" thickBot="1" x14ac:dyDescent="0.25">
      <c r="E102" s="113"/>
      <c r="F102" s="113"/>
      <c r="G102" s="927"/>
      <c r="H102" s="43"/>
      <c r="I102" s="43"/>
      <c r="J102" s="43"/>
      <c r="K102" s="43"/>
      <c r="L102" s="43"/>
      <c r="M102" s="43"/>
      <c r="N102" s="43"/>
      <c r="O102" s="935"/>
      <c r="U102" s="108"/>
      <c r="V102" s="109"/>
      <c r="W102" s="109"/>
      <c r="X102" s="109"/>
      <c r="Y102" s="109"/>
      <c r="Z102" s="109"/>
      <c r="AA102" s="109"/>
      <c r="AB102" s="109"/>
      <c r="AC102" s="109"/>
      <c r="AD102" s="109"/>
      <c r="AE102" s="109"/>
      <c r="AF102" s="109"/>
      <c r="AG102" s="109"/>
      <c r="AH102" s="109"/>
      <c r="AI102" s="109"/>
      <c r="AJ102" s="109"/>
      <c r="AK102" s="109"/>
      <c r="AL102" s="109"/>
      <c r="AM102" s="109"/>
      <c r="AN102" s="109"/>
      <c r="AO102" s="109"/>
      <c r="AT102" s="109"/>
      <c r="AU102" s="109"/>
      <c r="AV102" s="109"/>
      <c r="AW102" s="109"/>
      <c r="BB102" s="165"/>
      <c r="BC102" s="69"/>
      <c r="BD102" s="109"/>
      <c r="BE102" s="79">
        <v>22</v>
      </c>
      <c r="BF102" s="60"/>
      <c r="BG102" s="60"/>
      <c r="BH102" s="60"/>
      <c r="BI102" s="60"/>
      <c r="BJ102" s="60"/>
      <c r="BK102" s="60"/>
      <c r="BL102" s="60"/>
      <c r="BM102" s="60"/>
      <c r="BN102" s="60"/>
      <c r="BO102" s="60"/>
      <c r="BP102" s="60"/>
      <c r="BQ102" s="103" t="b">
        <f>IF(CA81=22,12)</f>
        <v>0</v>
      </c>
      <c r="BR102" s="106"/>
      <c r="BS102" s="106"/>
      <c r="BT102" s="106"/>
      <c r="BU102" s="105"/>
      <c r="BV102" s="106"/>
      <c r="BW102" s="117"/>
      <c r="BX102" s="106"/>
      <c r="BY102" s="118"/>
      <c r="BZ102" s="106"/>
      <c r="CA102" s="106"/>
      <c r="CB102" s="106"/>
      <c r="CC102" s="106"/>
      <c r="CD102" s="104"/>
      <c r="CE102" s="104"/>
      <c r="CF102" s="105"/>
      <c r="CG102" s="104"/>
      <c r="CH102" s="104"/>
      <c r="CI102" s="104"/>
      <c r="CJ102" s="104"/>
      <c r="CK102" s="107" t="b">
        <f>IF(CA81=22,32)</f>
        <v>0</v>
      </c>
      <c r="CL102" s="62"/>
      <c r="CM102" s="62"/>
      <c r="CN102" s="62"/>
      <c r="CO102" s="62"/>
      <c r="CP102" s="62"/>
      <c r="CQ102" s="62"/>
      <c r="CR102" s="62"/>
      <c r="CS102" s="62"/>
    </row>
    <row r="103" spans="5:97" ht="21" hidden="1" thickBot="1" x14ac:dyDescent="0.25">
      <c r="G103" s="927"/>
      <c r="H103" s="43"/>
      <c r="I103" s="43"/>
      <c r="J103" s="43"/>
      <c r="K103" s="43"/>
      <c r="L103" s="43"/>
      <c r="M103" s="43"/>
      <c r="N103" s="43"/>
      <c r="O103" s="935"/>
      <c r="T103" s="109"/>
      <c r="U103" s="109"/>
      <c r="V103" s="109"/>
      <c r="W103" s="109"/>
      <c r="X103" s="109"/>
      <c r="Y103" s="109"/>
      <c r="Z103" s="109"/>
      <c r="AA103" s="109"/>
      <c r="AB103" s="109"/>
      <c r="AC103" s="109"/>
      <c r="AD103" s="109"/>
      <c r="AE103" s="109"/>
      <c r="AF103" s="109"/>
      <c r="AG103" s="109"/>
      <c r="AH103" s="109"/>
      <c r="AI103" s="109"/>
      <c r="AJ103" s="109"/>
      <c r="AK103" s="109"/>
      <c r="AL103" s="109"/>
      <c r="AM103" s="109"/>
      <c r="AN103" s="109"/>
      <c r="AO103" s="109"/>
      <c r="AT103" s="109"/>
      <c r="AU103" s="109"/>
      <c r="AV103" s="109"/>
      <c r="AW103" s="109"/>
      <c r="BB103" s="165"/>
      <c r="BC103" s="69"/>
      <c r="BD103" s="109"/>
      <c r="BE103" s="79">
        <v>21</v>
      </c>
      <c r="BF103" s="62"/>
      <c r="BG103" s="62"/>
      <c r="BH103" s="62"/>
      <c r="BI103" s="62"/>
      <c r="BJ103" s="62"/>
      <c r="BK103" s="62"/>
      <c r="BL103" s="62"/>
      <c r="BM103" s="62"/>
      <c r="BN103" s="62"/>
      <c r="BO103" s="62"/>
      <c r="BP103" s="62"/>
      <c r="BQ103" s="103" t="b">
        <f>IF(BZ81=21,12)</f>
        <v>0</v>
      </c>
      <c r="BR103" s="104"/>
      <c r="BS103" s="104"/>
      <c r="BT103" s="104"/>
      <c r="BU103" s="104"/>
      <c r="BV103" s="104"/>
      <c r="BW103" s="115"/>
      <c r="BX103" s="104"/>
      <c r="BY103" s="116"/>
      <c r="BZ103" s="104"/>
      <c r="CA103" s="104"/>
      <c r="CB103" s="104"/>
      <c r="CC103" s="104"/>
      <c r="CD103" s="104"/>
      <c r="CE103" s="104"/>
      <c r="CF103" s="104"/>
      <c r="CG103" s="104"/>
      <c r="CH103" s="104"/>
      <c r="CI103" s="107" t="b">
        <f>IF(BZ81=21,30)</f>
        <v>0</v>
      </c>
      <c r="CJ103" s="60"/>
      <c r="CK103" s="60"/>
      <c r="CL103" s="60"/>
      <c r="CM103" s="60"/>
      <c r="CN103" s="60"/>
      <c r="CO103" s="60"/>
      <c r="CP103" s="60"/>
      <c r="CQ103" s="60"/>
      <c r="CR103" s="62"/>
      <c r="CS103" s="62"/>
    </row>
    <row r="104" spans="5:97" ht="21" hidden="1" thickBot="1" x14ac:dyDescent="0.25">
      <c r="G104" s="927"/>
      <c r="H104" s="43"/>
      <c r="I104" s="43"/>
      <c r="J104" s="43"/>
      <c r="K104" s="43"/>
      <c r="L104" s="43"/>
      <c r="M104" s="43"/>
      <c r="N104" s="43"/>
      <c r="O104" s="935"/>
      <c r="T104" s="109"/>
      <c r="U104" s="109"/>
      <c r="V104" s="109"/>
      <c r="W104" s="109"/>
      <c r="X104" s="109"/>
      <c r="Y104" s="109"/>
      <c r="Z104" s="109"/>
      <c r="AA104" s="109"/>
      <c r="AB104" s="109"/>
      <c r="AC104" s="109"/>
      <c r="AD104" s="109"/>
      <c r="AE104" s="109"/>
      <c r="AF104" s="109"/>
      <c r="AG104" s="109"/>
      <c r="AH104" s="109"/>
      <c r="AI104" s="109"/>
      <c r="AJ104" s="109"/>
      <c r="AK104" s="109"/>
      <c r="AL104" s="109"/>
      <c r="AM104" s="109"/>
      <c r="AN104" s="109"/>
      <c r="AO104" s="109"/>
      <c r="AT104" s="119"/>
      <c r="AU104" s="119"/>
      <c r="AV104" s="119"/>
      <c r="AW104" s="119"/>
      <c r="BB104" s="165"/>
      <c r="BC104" s="69"/>
      <c r="BD104" s="863"/>
      <c r="BE104" s="79">
        <v>20</v>
      </c>
      <c r="BF104" s="62"/>
      <c r="BG104" s="62"/>
      <c r="BH104" s="62"/>
      <c r="BI104" s="62"/>
      <c r="BJ104" s="62"/>
      <c r="BK104" s="62"/>
      <c r="BL104" s="62"/>
      <c r="BM104" s="62"/>
      <c r="BP104" s="120"/>
      <c r="BQ104" s="100" t="b">
        <f>IF(BY81=20,12)</f>
        <v>0</v>
      </c>
      <c r="BR104" s="94"/>
      <c r="BS104" s="94"/>
      <c r="BT104" s="94"/>
      <c r="BU104" s="94"/>
      <c r="BV104" s="94"/>
      <c r="BW104" s="121"/>
      <c r="BX104" s="94"/>
      <c r="BY104" s="112"/>
      <c r="BZ104" s="94"/>
      <c r="CA104" s="94"/>
      <c r="CB104" s="94"/>
      <c r="CC104" s="94"/>
      <c r="CD104" s="94"/>
      <c r="CE104" s="94"/>
      <c r="CF104" s="94"/>
      <c r="CG104" s="86" t="b">
        <f>IF(BY81=20,28)</f>
        <v>0</v>
      </c>
      <c r="CH104" s="120"/>
      <c r="CJ104" s="60"/>
      <c r="CK104" s="60"/>
      <c r="CL104" s="60"/>
      <c r="CM104" s="60"/>
      <c r="CN104" s="60"/>
      <c r="CO104" s="60"/>
      <c r="CP104" s="60"/>
      <c r="CQ104" s="60"/>
      <c r="CR104" s="62"/>
      <c r="CS104" s="62"/>
    </row>
    <row r="105" spans="5:97" ht="21" hidden="1" thickBot="1" x14ac:dyDescent="0.25">
      <c r="G105" s="927"/>
      <c r="H105" s="43"/>
      <c r="I105" s="43"/>
      <c r="J105" s="43"/>
      <c r="K105" s="43"/>
      <c r="L105" s="43"/>
      <c r="M105" s="43"/>
      <c r="N105" s="43"/>
      <c r="O105" s="935"/>
      <c r="AT105" s="119"/>
      <c r="AU105" s="119"/>
      <c r="AV105" s="119"/>
      <c r="AW105" s="119"/>
      <c r="BB105" s="165"/>
      <c r="BC105" s="69"/>
      <c r="BD105" s="863"/>
      <c r="BE105" s="79">
        <v>19</v>
      </c>
      <c r="BF105" s="62"/>
      <c r="BG105" s="62"/>
      <c r="BH105" s="62"/>
      <c r="BI105" s="62"/>
      <c r="BJ105" s="62"/>
      <c r="BK105" s="62"/>
      <c r="BL105" s="62"/>
      <c r="BM105" s="62"/>
      <c r="BO105" s="122"/>
      <c r="BP105" s="122"/>
      <c r="BQ105" s="100" t="b">
        <f>IF(BX81=19,12)</f>
        <v>0</v>
      </c>
      <c r="BR105" s="102"/>
      <c r="BS105" s="102"/>
      <c r="BT105" s="101"/>
      <c r="BU105" s="102"/>
      <c r="BV105" s="102"/>
      <c r="BW105" s="123"/>
      <c r="BX105" s="102"/>
      <c r="BY105" s="124"/>
      <c r="BZ105" s="101"/>
      <c r="CA105" s="102"/>
      <c r="CB105" s="102"/>
      <c r="CC105" s="102"/>
      <c r="CD105" s="94"/>
      <c r="CE105" s="86" t="b">
        <f>IF(BX81=19,26)</f>
        <v>0</v>
      </c>
      <c r="CF105" s="125"/>
      <c r="CG105" s="120"/>
      <c r="CI105" s="62"/>
      <c r="CJ105" s="62"/>
      <c r="CK105" s="62"/>
      <c r="CL105" s="62"/>
      <c r="CM105" s="62"/>
      <c r="CN105" s="62"/>
      <c r="CO105" s="62"/>
      <c r="CP105" s="62"/>
      <c r="CQ105" s="62"/>
      <c r="CR105" s="62"/>
      <c r="CS105" s="62"/>
    </row>
    <row r="106" spans="5:97" ht="21" hidden="1" thickBot="1" x14ac:dyDescent="0.25">
      <c r="G106" s="927"/>
      <c r="H106" s="43"/>
      <c r="I106" s="43"/>
      <c r="J106" s="43"/>
      <c r="K106" s="43"/>
      <c r="L106" s="43"/>
      <c r="M106" s="43"/>
      <c r="N106" s="43"/>
      <c r="O106" s="935"/>
      <c r="AT106" s="119"/>
      <c r="AU106" s="119"/>
      <c r="AV106" s="119"/>
      <c r="AW106" s="119"/>
      <c r="BB106" s="165"/>
      <c r="BC106" s="69"/>
      <c r="BD106" s="863"/>
      <c r="BE106" s="79">
        <v>18</v>
      </c>
      <c r="BF106" s="60"/>
      <c r="BG106" s="60"/>
      <c r="BH106" s="60"/>
      <c r="BI106" s="60"/>
      <c r="BJ106" s="60"/>
      <c r="BK106" s="60"/>
      <c r="BL106" s="60"/>
      <c r="BM106" s="60"/>
      <c r="BO106" s="100" t="b">
        <f>IF(BW81=18,10)</f>
        <v>0</v>
      </c>
      <c r="BP106" s="102"/>
      <c r="BQ106" s="102"/>
      <c r="BR106" s="102"/>
      <c r="BS106" s="102"/>
      <c r="BT106" s="101"/>
      <c r="BU106" s="102"/>
      <c r="BV106" s="102"/>
      <c r="BW106" s="123"/>
      <c r="BX106" s="102"/>
      <c r="BY106" s="124"/>
      <c r="BZ106" s="101"/>
      <c r="CA106" s="102"/>
      <c r="CB106" s="102"/>
      <c r="CC106" s="102"/>
      <c r="CD106" s="94"/>
      <c r="CE106" s="86" t="b">
        <f>IF(BW81=18,26)</f>
        <v>0</v>
      </c>
      <c r="CG106" s="62"/>
      <c r="CH106" s="62"/>
      <c r="CI106" s="62"/>
      <c r="CJ106" s="62"/>
      <c r="CK106" s="62"/>
      <c r="CL106" s="62"/>
      <c r="CM106" s="62"/>
      <c r="CN106" s="62"/>
      <c r="CO106" s="62"/>
      <c r="CP106" s="62"/>
      <c r="CQ106" s="62"/>
      <c r="CR106" s="62"/>
      <c r="CS106" s="62"/>
    </row>
    <row r="107" spans="5:97" ht="21" hidden="1" thickBot="1" x14ac:dyDescent="0.25">
      <c r="G107" s="927"/>
      <c r="H107" s="43"/>
      <c r="I107" s="43"/>
      <c r="J107" s="43"/>
      <c r="K107" s="43"/>
      <c r="L107" s="43"/>
      <c r="M107" s="43"/>
      <c r="N107" s="43"/>
      <c r="O107" s="935"/>
      <c r="AT107" s="119"/>
      <c r="AU107" s="119"/>
      <c r="AV107" s="119"/>
      <c r="AW107" s="119"/>
      <c r="BB107" s="165"/>
      <c r="BC107" s="69"/>
      <c r="BD107" s="863"/>
      <c r="BE107" s="79">
        <v>17</v>
      </c>
      <c r="BF107" s="60"/>
      <c r="BG107" s="60"/>
      <c r="BH107" s="60"/>
      <c r="BI107" s="60"/>
      <c r="BJ107" s="60"/>
      <c r="BK107" s="60"/>
      <c r="BL107" s="60"/>
      <c r="BM107" s="100" t="b">
        <f>IF(BV81=17,8)</f>
        <v>0</v>
      </c>
      <c r="BN107" s="101"/>
      <c r="BO107" s="101"/>
      <c r="BP107" s="102"/>
      <c r="BQ107" s="102"/>
      <c r="BR107" s="102"/>
      <c r="BS107" s="102"/>
      <c r="BT107" s="102"/>
      <c r="BU107" s="102"/>
      <c r="BV107" s="102"/>
      <c r="BW107" s="123"/>
      <c r="BX107" s="102"/>
      <c r="BY107" s="124"/>
      <c r="BZ107" s="102"/>
      <c r="CA107" s="102"/>
      <c r="CB107" s="102"/>
      <c r="CC107" s="101"/>
      <c r="CD107" s="101"/>
      <c r="CE107" s="86" t="b">
        <f>IF(BV81=17,26)</f>
        <v>0</v>
      </c>
      <c r="CF107" s="62"/>
      <c r="CG107" s="62"/>
      <c r="CH107" s="62"/>
      <c r="CI107" s="62"/>
      <c r="CJ107" s="62"/>
      <c r="CK107" s="62"/>
      <c r="CL107" s="62"/>
      <c r="CM107" s="62"/>
      <c r="CN107" s="62"/>
      <c r="CO107" s="62"/>
      <c r="CP107" s="62"/>
      <c r="CQ107" s="62"/>
      <c r="CR107" s="62"/>
      <c r="CS107" s="62"/>
    </row>
    <row r="108" spans="5:97" ht="21" hidden="1" thickBot="1" x14ac:dyDescent="0.25">
      <c r="G108" s="927"/>
      <c r="H108" s="43"/>
      <c r="I108" s="43"/>
      <c r="J108" s="43"/>
      <c r="K108" s="43"/>
      <c r="L108" s="43"/>
      <c r="M108" s="43"/>
      <c r="N108" s="43"/>
      <c r="O108" s="935"/>
      <c r="T108" s="109"/>
      <c r="U108" s="109"/>
      <c r="V108" s="109"/>
      <c r="W108" s="109"/>
      <c r="X108" s="109"/>
      <c r="Y108" s="109"/>
      <c r="Z108" s="109"/>
      <c r="AA108" s="109"/>
      <c r="AB108" s="109"/>
      <c r="AC108" s="109"/>
      <c r="AD108" s="109"/>
      <c r="AE108" s="109"/>
      <c r="AF108" s="109"/>
      <c r="AG108" s="109"/>
      <c r="AH108" s="109"/>
      <c r="AI108" s="109"/>
      <c r="AJ108" s="109"/>
      <c r="AK108" s="109"/>
      <c r="AL108" s="109"/>
      <c r="AM108" s="109"/>
      <c r="AN108" s="109"/>
      <c r="AO108" s="109"/>
      <c r="AQ108" s="126"/>
      <c r="AR108" s="127"/>
      <c r="AS108" s="127"/>
      <c r="AT108" s="119"/>
      <c r="AU108" s="119"/>
      <c r="AV108" s="119"/>
      <c r="AW108" s="119"/>
      <c r="BB108" s="165"/>
      <c r="BC108" s="69"/>
      <c r="BD108" s="863"/>
      <c r="BE108" s="79">
        <v>16</v>
      </c>
      <c r="BF108" s="60"/>
      <c r="BG108" s="60"/>
      <c r="BH108" s="60"/>
      <c r="BI108" s="60"/>
      <c r="BJ108" s="60"/>
      <c r="BK108" s="128">
        <f>IF(BU81=16,6)</f>
        <v>6</v>
      </c>
      <c r="BL108" s="129"/>
      <c r="BM108" s="130"/>
      <c r="BN108" s="130"/>
      <c r="BO108" s="129"/>
      <c r="BP108" s="129"/>
      <c r="BQ108" s="129"/>
      <c r="BR108" s="129"/>
      <c r="BS108" s="129"/>
      <c r="BT108" s="129"/>
      <c r="BU108" s="129"/>
      <c r="BV108" s="129"/>
      <c r="BW108" s="131"/>
      <c r="BX108" s="129"/>
      <c r="BY108" s="132"/>
      <c r="BZ108" s="129"/>
      <c r="CA108" s="129"/>
      <c r="CB108" s="130"/>
      <c r="CC108" s="130"/>
      <c r="CD108" s="133"/>
      <c r="CE108" s="134">
        <f>IF(BU81=16,26)</f>
        <v>26</v>
      </c>
      <c r="CF108" s="62"/>
      <c r="CG108" s="62"/>
      <c r="CH108" s="62"/>
      <c r="CI108" s="62"/>
      <c r="CJ108" s="62"/>
      <c r="CK108" s="62"/>
      <c r="CL108" s="62"/>
      <c r="CM108" s="62"/>
      <c r="CN108" s="62"/>
      <c r="CO108" s="62"/>
      <c r="CP108" s="62"/>
      <c r="CQ108" s="62"/>
      <c r="CR108" s="62"/>
      <c r="CS108" s="62"/>
    </row>
    <row r="109" spans="5:97" ht="21" hidden="1" thickBot="1" x14ac:dyDescent="0.25">
      <c r="G109" s="927"/>
      <c r="H109" s="43"/>
      <c r="I109" s="43"/>
      <c r="J109" s="43"/>
      <c r="K109" s="43"/>
      <c r="L109" s="43"/>
      <c r="M109" s="43"/>
      <c r="N109" s="43"/>
      <c r="O109" s="935"/>
      <c r="T109" s="109"/>
      <c r="U109" s="109"/>
      <c r="V109" s="109"/>
      <c r="W109" s="109"/>
      <c r="X109" s="109"/>
      <c r="Y109" s="109"/>
      <c r="Z109" s="109"/>
      <c r="AA109" s="109"/>
      <c r="AB109" s="109"/>
      <c r="AC109" s="109"/>
      <c r="AD109" s="109"/>
      <c r="AE109" s="109"/>
      <c r="AF109" s="109"/>
      <c r="AG109" s="109"/>
      <c r="AH109" s="109"/>
      <c r="AI109" s="109"/>
      <c r="AJ109" s="109"/>
      <c r="AK109" s="109"/>
      <c r="AL109" s="109"/>
      <c r="AM109" s="109"/>
      <c r="AN109" s="109"/>
      <c r="AO109" s="109"/>
      <c r="AQ109" s="126"/>
      <c r="AR109" s="127"/>
      <c r="AS109" s="127"/>
      <c r="AT109" s="119"/>
      <c r="AU109" s="119"/>
      <c r="AV109" s="119"/>
      <c r="AW109" s="119"/>
      <c r="BB109" s="165"/>
      <c r="BC109" s="69"/>
      <c r="BD109" s="863"/>
      <c r="BE109" s="79">
        <v>15</v>
      </c>
      <c r="BF109" s="60"/>
      <c r="BG109" s="60"/>
      <c r="BH109" s="60"/>
      <c r="BI109" s="100" t="b">
        <f>IF(BT81=15,4)</f>
        <v>0</v>
      </c>
      <c r="BJ109" s="102"/>
      <c r="BK109" s="102"/>
      <c r="BL109" s="102"/>
      <c r="BM109" s="101"/>
      <c r="BN109" s="102"/>
      <c r="BO109" s="102"/>
      <c r="BP109" s="101"/>
      <c r="BQ109" s="102"/>
      <c r="BR109" s="102"/>
      <c r="BS109" s="102"/>
      <c r="BT109" s="102"/>
      <c r="BU109" s="102"/>
      <c r="BV109" s="102"/>
      <c r="BW109" s="123"/>
      <c r="BX109" s="101"/>
      <c r="BY109" s="124"/>
      <c r="BZ109" s="102"/>
      <c r="CA109" s="101"/>
      <c r="CB109" s="102"/>
      <c r="CC109" s="102"/>
      <c r="CD109" s="94"/>
      <c r="CE109" s="86" t="b">
        <f>IF(BT81=15,26)</f>
        <v>0</v>
      </c>
      <c r="CF109" s="62"/>
      <c r="CG109" s="62"/>
      <c r="CH109" s="62"/>
      <c r="CI109" s="62"/>
      <c r="CJ109" s="62"/>
      <c r="CK109" s="62"/>
      <c r="CL109" s="62"/>
      <c r="CM109" s="62"/>
      <c r="CN109" s="62"/>
      <c r="CO109" s="62"/>
      <c r="CP109" s="62"/>
      <c r="CQ109" s="62"/>
      <c r="CR109" s="62"/>
      <c r="CS109" s="62"/>
    </row>
    <row r="110" spans="5:97" ht="21" hidden="1" thickBot="1" x14ac:dyDescent="0.25">
      <c r="G110" s="927"/>
      <c r="H110" s="43"/>
      <c r="I110" s="43"/>
      <c r="J110" s="43"/>
      <c r="K110" s="43"/>
      <c r="L110" s="43"/>
      <c r="M110" s="43"/>
      <c r="N110" s="43"/>
      <c r="O110" s="935"/>
      <c r="T110" s="109"/>
      <c r="U110" s="109"/>
      <c r="V110" s="109"/>
      <c r="W110" s="109"/>
      <c r="X110" s="109"/>
      <c r="Y110" s="109"/>
      <c r="Z110" s="109"/>
      <c r="AA110" s="109"/>
      <c r="AB110" s="109"/>
      <c r="AC110" s="109"/>
      <c r="AD110" s="109"/>
      <c r="AE110" s="109"/>
      <c r="AF110" s="109"/>
      <c r="AG110" s="109"/>
      <c r="AH110" s="109"/>
      <c r="AI110" s="109"/>
      <c r="AJ110" s="109"/>
      <c r="AK110" s="109"/>
      <c r="AL110" s="109"/>
      <c r="AM110" s="109"/>
      <c r="AN110" s="109"/>
      <c r="AO110" s="109"/>
      <c r="AQ110" s="126"/>
      <c r="AR110" s="127"/>
      <c r="AS110" s="127"/>
      <c r="AT110" s="119"/>
      <c r="AU110" s="119"/>
      <c r="AV110" s="119"/>
      <c r="AW110" s="119"/>
      <c r="BB110" s="165"/>
      <c r="BC110" s="69"/>
      <c r="BD110" s="863"/>
      <c r="BE110" s="79">
        <v>14</v>
      </c>
      <c r="BF110" s="60"/>
      <c r="BG110" s="100" t="b">
        <f>IF(BS81=14,2)</f>
        <v>0</v>
      </c>
      <c r="BH110" s="102"/>
      <c r="BI110" s="102"/>
      <c r="BJ110" s="102"/>
      <c r="BK110" s="101"/>
      <c r="BL110" s="102"/>
      <c r="BM110" s="102"/>
      <c r="BN110" s="101"/>
      <c r="BO110" s="102"/>
      <c r="BP110" s="102"/>
      <c r="BQ110" s="102"/>
      <c r="BR110" s="102"/>
      <c r="BS110" s="102"/>
      <c r="BT110" s="102"/>
      <c r="BU110" s="102"/>
      <c r="BV110" s="102"/>
      <c r="BW110" s="123"/>
      <c r="BX110" s="101"/>
      <c r="BY110" s="124"/>
      <c r="BZ110" s="102"/>
      <c r="CA110" s="101"/>
      <c r="CB110" s="102"/>
      <c r="CC110" s="102"/>
      <c r="CD110" s="94"/>
      <c r="CE110" s="86" t="b">
        <f>IF(BS81=14,26)</f>
        <v>0</v>
      </c>
      <c r="CF110" s="62"/>
      <c r="CG110" s="62"/>
      <c r="CH110" s="62"/>
      <c r="CI110" s="62"/>
      <c r="CJ110" s="62"/>
      <c r="CK110" s="62"/>
      <c r="CL110" s="62"/>
      <c r="CM110" s="62"/>
      <c r="CN110" s="62"/>
      <c r="CO110" s="62"/>
      <c r="CP110" s="62"/>
      <c r="CQ110" s="62"/>
      <c r="CR110" s="62"/>
      <c r="CS110" s="62"/>
    </row>
    <row r="111" spans="5:97" ht="21" hidden="1" thickBot="1" x14ac:dyDescent="0.25">
      <c r="G111" s="927"/>
      <c r="H111" s="43"/>
      <c r="I111" s="43"/>
      <c r="J111" s="43"/>
      <c r="K111" s="43"/>
      <c r="L111" s="43"/>
      <c r="M111" s="43"/>
      <c r="N111" s="43"/>
      <c r="O111" s="935"/>
      <c r="T111" s="109"/>
      <c r="U111" s="109"/>
      <c r="V111" s="109"/>
      <c r="W111" s="109"/>
      <c r="X111" s="109"/>
      <c r="Y111" s="109"/>
      <c r="Z111" s="109"/>
      <c r="AA111" s="109"/>
      <c r="AB111" s="109"/>
      <c r="AC111" s="109"/>
      <c r="AD111" s="109"/>
      <c r="AE111" s="109"/>
      <c r="AF111" s="109"/>
      <c r="AG111" s="109"/>
      <c r="AH111" s="109"/>
      <c r="AI111" s="109"/>
      <c r="AJ111" s="109"/>
      <c r="AK111" s="109"/>
      <c r="AL111" s="109"/>
      <c r="AM111" s="109"/>
      <c r="AN111" s="109"/>
      <c r="AO111" s="109"/>
      <c r="AQ111" s="126"/>
      <c r="AR111" s="127"/>
      <c r="AS111" s="127"/>
      <c r="AT111" s="119"/>
      <c r="AU111" s="119"/>
      <c r="AV111" s="119"/>
      <c r="AW111" s="119"/>
      <c r="BB111" s="165"/>
      <c r="BC111" s="69"/>
      <c r="BD111" s="863"/>
      <c r="BE111" s="79">
        <v>13</v>
      </c>
      <c r="BF111" s="60"/>
      <c r="BG111" s="60"/>
      <c r="BH111" s="60"/>
      <c r="BJ111" s="135"/>
      <c r="BK111" s="135"/>
      <c r="BL111" s="74"/>
      <c r="BM111" s="135"/>
      <c r="BN111" s="103" t="b">
        <f>IF(BR81=13,9)</f>
        <v>0</v>
      </c>
      <c r="BO111" s="106"/>
      <c r="BP111" s="106"/>
      <c r="BQ111" s="106"/>
      <c r="BR111" s="106"/>
      <c r="BS111" s="106"/>
      <c r="BT111" s="106"/>
      <c r="BU111" s="106"/>
      <c r="BV111" s="107" t="b">
        <f>IF(BR81=13,17)</f>
        <v>0</v>
      </c>
      <c r="BW111" s="136"/>
      <c r="BX111" s="74"/>
      <c r="BY111" s="137"/>
      <c r="BZ111" s="135"/>
      <c r="CB111" s="60"/>
      <c r="CC111" s="60"/>
      <c r="CD111" s="62"/>
      <c r="CE111" s="62"/>
      <c r="CF111" s="62"/>
      <c r="CG111" s="62"/>
      <c r="CH111" s="62"/>
      <c r="CI111" s="62"/>
      <c r="CJ111" s="62"/>
      <c r="CK111" s="62"/>
      <c r="CL111" s="62"/>
      <c r="CM111" s="62"/>
      <c r="CN111" s="62"/>
      <c r="CO111" s="62"/>
      <c r="CP111" s="62"/>
      <c r="CQ111" s="62"/>
      <c r="CR111" s="62"/>
      <c r="CS111" s="62"/>
    </row>
    <row r="112" spans="5:97" ht="21" hidden="1" thickBot="1" x14ac:dyDescent="0.25">
      <c r="G112" s="927"/>
      <c r="H112" s="43"/>
      <c r="I112" s="43"/>
      <c r="J112" s="43"/>
      <c r="K112" s="43"/>
      <c r="L112" s="43"/>
      <c r="M112" s="43"/>
      <c r="N112" s="43"/>
      <c r="O112" s="935"/>
      <c r="T112" s="109"/>
      <c r="U112" s="109"/>
      <c r="V112" s="109"/>
      <c r="W112" s="109"/>
      <c r="X112" s="109"/>
      <c r="Y112" s="109"/>
      <c r="Z112" s="109"/>
      <c r="AA112" s="109"/>
      <c r="AB112" s="109"/>
      <c r="AC112" s="109"/>
      <c r="AD112" s="109"/>
      <c r="AE112" s="109"/>
      <c r="AF112" s="109"/>
      <c r="AG112" s="109"/>
      <c r="AH112" s="109"/>
      <c r="AI112" s="109"/>
      <c r="AJ112" s="109"/>
      <c r="AK112" s="109"/>
      <c r="AL112" s="109"/>
      <c r="AM112" s="109"/>
      <c r="AN112" s="109"/>
      <c r="AO112" s="109"/>
      <c r="AQ112" s="126"/>
      <c r="AR112" s="127"/>
      <c r="AS112" s="127"/>
      <c r="AT112" s="119"/>
      <c r="AU112" s="119"/>
      <c r="AV112" s="119"/>
      <c r="AW112" s="119"/>
      <c r="BB112" s="165"/>
      <c r="BC112" s="69"/>
      <c r="BD112" s="863"/>
      <c r="BE112" s="79">
        <v>12</v>
      </c>
      <c r="BF112" s="60"/>
      <c r="BH112" s="122"/>
      <c r="BI112" s="122"/>
      <c r="BJ112" s="125"/>
      <c r="BK112" s="122"/>
      <c r="BL112" s="100" t="b">
        <f>IF(BQ81=12,7)</f>
        <v>0</v>
      </c>
      <c r="BM112" s="102"/>
      <c r="BN112" s="102"/>
      <c r="BO112" s="102"/>
      <c r="BP112" s="102"/>
      <c r="BQ112" s="102"/>
      <c r="BR112" s="102"/>
      <c r="BS112" s="102"/>
      <c r="BT112" s="102"/>
      <c r="BU112" s="102"/>
      <c r="BV112" s="86" t="b">
        <f>IF(BQ81=12,17)</f>
        <v>0</v>
      </c>
      <c r="BW112" s="138"/>
      <c r="BX112" s="125"/>
      <c r="BY112" s="139"/>
      <c r="BZ112" s="122"/>
      <c r="CB112" s="60"/>
      <c r="CC112" s="60"/>
      <c r="CD112" s="62"/>
      <c r="CE112" s="62"/>
      <c r="CF112" s="62"/>
      <c r="CG112" s="62"/>
      <c r="CH112" s="62"/>
      <c r="CI112" s="62"/>
      <c r="CJ112" s="62"/>
      <c r="CK112" s="62"/>
      <c r="CL112" s="62"/>
      <c r="CM112" s="62"/>
      <c r="CN112" s="62"/>
      <c r="CO112" s="62"/>
      <c r="CP112" s="62"/>
      <c r="CQ112" s="62"/>
      <c r="CR112" s="62"/>
      <c r="CS112" s="62"/>
    </row>
    <row r="113" spans="2:97" ht="21" hidden="1" thickBot="1" x14ac:dyDescent="0.25">
      <c r="G113" s="927"/>
      <c r="H113" s="43"/>
      <c r="I113" s="43"/>
      <c r="J113" s="43"/>
      <c r="K113" s="43"/>
      <c r="L113" s="43"/>
      <c r="M113" s="43"/>
      <c r="N113" s="43"/>
      <c r="O113" s="935"/>
      <c r="T113" s="109"/>
      <c r="U113" s="109"/>
      <c r="V113" s="109"/>
      <c r="W113" s="109"/>
      <c r="X113" s="109"/>
      <c r="Y113" s="109"/>
      <c r="Z113" s="109"/>
      <c r="AA113" s="109"/>
      <c r="AB113" s="109"/>
      <c r="AC113" s="109"/>
      <c r="AD113" s="109"/>
      <c r="AE113" s="109"/>
      <c r="AF113" s="109"/>
      <c r="AG113" s="109"/>
      <c r="AH113" s="109"/>
      <c r="AI113" s="109"/>
      <c r="AJ113" s="109"/>
      <c r="AK113" s="109"/>
      <c r="AL113" s="109"/>
      <c r="AM113" s="109"/>
      <c r="AN113" s="109"/>
      <c r="AO113" s="109"/>
      <c r="AQ113" s="126"/>
      <c r="AR113" s="127"/>
      <c r="AS113" s="127"/>
      <c r="AT113" s="119"/>
      <c r="AU113" s="119"/>
      <c r="AV113" s="119"/>
      <c r="AW113" s="119"/>
      <c r="BB113" s="165"/>
      <c r="BC113" s="69"/>
      <c r="BD113" s="863"/>
      <c r="BE113" s="79">
        <v>11</v>
      </c>
      <c r="BG113" s="135"/>
      <c r="BH113" s="74"/>
      <c r="BI113" s="135"/>
      <c r="BJ113" s="100" t="b">
        <f>IF(BP81=11,5)</f>
        <v>0</v>
      </c>
      <c r="BK113" s="102"/>
      <c r="BL113" s="102"/>
      <c r="BM113" s="102"/>
      <c r="BN113" s="102"/>
      <c r="BO113" s="102"/>
      <c r="BP113" s="102"/>
      <c r="BQ113" s="102"/>
      <c r="BR113" s="102"/>
      <c r="BS113" s="102"/>
      <c r="BT113" s="102"/>
      <c r="BU113" s="102"/>
      <c r="BV113" s="86" t="b">
        <f>IF(BP81=11,17)</f>
        <v>0</v>
      </c>
      <c r="BW113" s="136"/>
      <c r="BX113" s="74"/>
      <c r="BY113" s="137"/>
      <c r="CA113" s="60"/>
      <c r="CB113" s="60"/>
      <c r="CC113" s="60"/>
      <c r="CD113" s="62"/>
      <c r="CE113" s="62"/>
      <c r="CF113" s="62"/>
      <c r="CG113" s="62"/>
      <c r="CH113" s="62"/>
      <c r="CI113" s="62"/>
      <c r="CJ113" s="62"/>
      <c r="CK113" s="62"/>
      <c r="CL113" s="62"/>
      <c r="CM113" s="62"/>
      <c r="CN113" s="62"/>
      <c r="CO113" s="62"/>
      <c r="CP113" s="62"/>
      <c r="CQ113" s="62"/>
      <c r="CR113" s="62"/>
      <c r="CS113" s="62"/>
    </row>
    <row r="114" spans="2:97" ht="21" hidden="1" thickBot="1" x14ac:dyDescent="0.25">
      <c r="B114" s="47"/>
      <c r="G114" s="927"/>
      <c r="H114" s="43"/>
      <c r="I114" s="43"/>
      <c r="J114" s="43"/>
      <c r="K114" s="43"/>
      <c r="L114" s="43"/>
      <c r="M114" s="43"/>
      <c r="N114" s="43"/>
      <c r="O114" s="935"/>
      <c r="T114" s="109"/>
      <c r="U114" s="109"/>
      <c r="V114" s="109"/>
      <c r="W114" s="109"/>
      <c r="X114" s="109"/>
      <c r="Y114" s="109"/>
      <c r="Z114" s="109"/>
      <c r="AA114" s="109"/>
      <c r="AB114" s="109"/>
      <c r="AC114" s="109"/>
      <c r="AD114" s="109"/>
      <c r="AE114" s="109"/>
      <c r="AF114" s="109"/>
      <c r="AG114" s="109"/>
      <c r="AH114" s="109"/>
      <c r="AI114" s="109"/>
      <c r="AJ114" s="109"/>
      <c r="AK114" s="109"/>
      <c r="AL114" s="109"/>
      <c r="AM114" s="109"/>
      <c r="AN114" s="109"/>
      <c r="AO114" s="109"/>
      <c r="AQ114" s="126"/>
      <c r="AR114" s="127"/>
      <c r="AS114" s="127"/>
      <c r="AT114" s="119"/>
      <c r="AU114" s="119"/>
      <c r="AV114" s="119"/>
      <c r="AW114" s="119"/>
      <c r="BB114" s="165"/>
      <c r="BC114" s="69"/>
      <c r="BD114" s="863"/>
      <c r="BE114" s="79">
        <v>10</v>
      </c>
      <c r="BG114" s="135"/>
      <c r="BH114" s="100" t="b">
        <f>IF(BO81=10,3)</f>
        <v>0</v>
      </c>
      <c r="BI114" s="102"/>
      <c r="BJ114" s="102"/>
      <c r="BK114" s="102"/>
      <c r="BL114" s="102"/>
      <c r="BM114" s="102"/>
      <c r="BN114" s="102"/>
      <c r="BO114" s="102"/>
      <c r="BP114" s="102"/>
      <c r="BQ114" s="102"/>
      <c r="BR114" s="102"/>
      <c r="BS114" s="102"/>
      <c r="BT114" s="102"/>
      <c r="BU114" s="102"/>
      <c r="BV114" s="86" t="b">
        <f>IF(BO81=10,17)</f>
        <v>0</v>
      </c>
      <c r="BW114" s="136"/>
      <c r="BY114" s="140"/>
      <c r="BZ114" s="60"/>
      <c r="CA114" s="60"/>
      <c r="CB114" s="60"/>
      <c r="CC114" s="60"/>
      <c r="CD114" s="62"/>
      <c r="CE114" s="62"/>
      <c r="CF114" s="62"/>
      <c r="CG114" s="62"/>
      <c r="CH114" s="62"/>
      <c r="CI114" s="62"/>
      <c r="CJ114" s="62"/>
      <c r="CK114" s="62"/>
      <c r="CL114" s="62"/>
      <c r="CM114" s="62"/>
      <c r="CN114" s="62"/>
      <c r="CO114" s="62"/>
      <c r="CP114" s="62"/>
      <c r="CQ114" s="62"/>
      <c r="CR114" s="62"/>
      <c r="CS114" s="62"/>
    </row>
    <row r="115" spans="2:97" ht="21" hidden="1" thickBot="1" x14ac:dyDescent="0.25">
      <c r="G115" s="927"/>
      <c r="H115" s="43"/>
      <c r="I115" s="43"/>
      <c r="J115" s="43"/>
      <c r="K115" s="43"/>
      <c r="L115" s="43"/>
      <c r="M115" s="43"/>
      <c r="N115" s="43"/>
      <c r="O115" s="935"/>
      <c r="T115" s="109"/>
      <c r="U115" s="109"/>
      <c r="V115" s="109"/>
      <c r="W115" s="109"/>
      <c r="X115" s="109"/>
      <c r="Y115" s="109"/>
      <c r="Z115" s="109"/>
      <c r="AA115" s="109"/>
      <c r="AB115" s="109"/>
      <c r="AC115" s="109"/>
      <c r="AD115" s="109"/>
      <c r="AE115" s="109"/>
      <c r="AF115" s="109"/>
      <c r="AG115" s="109"/>
      <c r="AH115" s="109"/>
      <c r="AI115" s="109"/>
      <c r="AJ115" s="109"/>
      <c r="AK115" s="109"/>
      <c r="AL115" s="109"/>
      <c r="AM115" s="109"/>
      <c r="AN115" s="109"/>
      <c r="AO115" s="109"/>
      <c r="AQ115" s="126"/>
      <c r="AR115" s="127"/>
      <c r="AS115" s="127"/>
      <c r="AU115" s="119"/>
      <c r="AV115" s="119"/>
      <c r="AW115" s="119"/>
      <c r="BB115" s="165"/>
      <c r="BC115" s="69"/>
      <c r="BD115" s="863"/>
      <c r="BE115" s="79">
        <v>9</v>
      </c>
      <c r="BF115" s="100" t="b">
        <f>IF(BN81=9,1)</f>
        <v>0</v>
      </c>
      <c r="BG115" s="102"/>
      <c r="BH115" s="102"/>
      <c r="BI115" s="102"/>
      <c r="BJ115" s="102"/>
      <c r="BK115" s="102"/>
      <c r="BL115" s="102"/>
      <c r="BM115" s="102"/>
      <c r="BN115" s="102"/>
      <c r="BO115" s="102"/>
      <c r="BP115" s="102"/>
      <c r="BQ115" s="102"/>
      <c r="BR115" s="102"/>
      <c r="BS115" s="102"/>
      <c r="BT115" s="102"/>
      <c r="BU115" s="102"/>
      <c r="BV115" s="86" t="b">
        <f>IF(BN81=9,17)</f>
        <v>0</v>
      </c>
      <c r="BW115" s="60"/>
      <c r="BX115" s="60"/>
      <c r="BY115" s="140"/>
      <c r="BZ115" s="60"/>
      <c r="CA115" s="60"/>
      <c r="CB115" s="60"/>
      <c r="CC115" s="60"/>
      <c r="CD115" s="62"/>
      <c r="CE115" s="62"/>
      <c r="CF115" s="62"/>
      <c r="CG115" s="62"/>
      <c r="CH115" s="62"/>
      <c r="CI115" s="62"/>
      <c r="CJ115" s="62"/>
      <c r="CK115" s="62"/>
      <c r="CL115" s="62"/>
      <c r="CM115" s="62"/>
      <c r="CN115" s="62"/>
      <c r="CO115" s="62"/>
      <c r="CP115" s="62"/>
      <c r="CQ115" s="62"/>
      <c r="CR115" s="62"/>
      <c r="CS115" s="62"/>
    </row>
    <row r="116" spans="2:97" ht="21" hidden="1" thickBot="1" x14ac:dyDescent="0.25">
      <c r="G116" s="927"/>
      <c r="H116" s="43"/>
      <c r="I116" s="43"/>
      <c r="J116" s="43"/>
      <c r="K116" s="43"/>
      <c r="L116" s="43"/>
      <c r="M116" s="43"/>
      <c r="N116" s="43"/>
      <c r="O116" s="935"/>
      <c r="T116" s="109"/>
      <c r="U116" s="109"/>
      <c r="V116" s="109"/>
      <c r="W116" s="109"/>
      <c r="X116" s="109"/>
      <c r="Y116" s="109"/>
      <c r="Z116" s="109"/>
      <c r="AA116" s="109"/>
      <c r="AB116" s="109"/>
      <c r="AC116" s="109"/>
      <c r="AD116" s="109"/>
      <c r="AE116" s="109"/>
      <c r="AF116" s="109"/>
      <c r="AG116" s="109"/>
      <c r="AH116" s="109"/>
      <c r="AI116" s="109"/>
      <c r="AJ116" s="109"/>
      <c r="AK116" s="109"/>
      <c r="AL116" s="109"/>
      <c r="AM116" s="109"/>
      <c r="AN116" s="109"/>
      <c r="AO116" s="109"/>
      <c r="AQ116" s="126"/>
      <c r="AR116" s="127"/>
      <c r="AS116" s="127"/>
      <c r="AT116" s="119"/>
      <c r="AU116" s="119"/>
      <c r="AV116" s="119"/>
      <c r="AW116" s="119"/>
      <c r="BB116" s="165"/>
      <c r="BC116" s="69"/>
      <c r="BD116" s="863"/>
      <c r="BE116" s="79">
        <v>8</v>
      </c>
      <c r="BF116" s="100" t="b">
        <f>IF(BM81=8,1)</f>
        <v>0</v>
      </c>
      <c r="BG116" s="102"/>
      <c r="BH116" s="101"/>
      <c r="BI116" s="102"/>
      <c r="BJ116" s="102"/>
      <c r="BK116" s="102"/>
      <c r="BL116" s="102"/>
      <c r="BM116" s="102"/>
      <c r="BN116" s="102"/>
      <c r="BO116" s="102"/>
      <c r="BP116" s="102"/>
      <c r="BQ116" s="102"/>
      <c r="BR116" s="101"/>
      <c r="BS116" s="102"/>
      <c r="BT116" s="86" t="b">
        <f>IF(BM81=8,15)</f>
        <v>0</v>
      </c>
      <c r="BU116" s="60"/>
      <c r="BV116" s="60"/>
      <c r="BW116" s="141"/>
      <c r="BX116" s="60"/>
      <c r="BY116" s="140"/>
      <c r="BZ116" s="60"/>
      <c r="CA116" s="60"/>
      <c r="CB116" s="60"/>
      <c r="CC116" s="60"/>
      <c r="CD116" s="62"/>
      <c r="CE116" s="62"/>
      <c r="CF116" s="62"/>
      <c r="CG116" s="62"/>
      <c r="CH116" s="62"/>
      <c r="CI116" s="62"/>
      <c r="CJ116" s="62"/>
      <c r="CK116" s="62"/>
      <c r="CL116" s="62"/>
      <c r="CM116" s="62"/>
      <c r="CN116" s="62"/>
      <c r="CO116" s="62"/>
      <c r="CP116" s="62"/>
      <c r="CQ116" s="62"/>
      <c r="CR116" s="62"/>
      <c r="CS116" s="62"/>
    </row>
    <row r="117" spans="2:97" ht="21" hidden="1" thickBot="1" x14ac:dyDescent="0.25">
      <c r="G117" s="927"/>
      <c r="H117" s="43"/>
      <c r="I117" s="43"/>
      <c r="J117" s="43"/>
      <c r="K117" s="43"/>
      <c r="L117" s="43"/>
      <c r="M117" s="43"/>
      <c r="N117" s="43"/>
      <c r="O117" s="935"/>
      <c r="T117" s="109"/>
      <c r="U117" s="109"/>
      <c r="V117" s="109"/>
      <c r="W117" s="109"/>
      <c r="X117" s="109"/>
      <c r="Y117" s="109"/>
      <c r="Z117" s="109"/>
      <c r="AA117" s="109"/>
      <c r="AB117" s="109"/>
      <c r="AC117" s="109"/>
      <c r="AD117" s="109"/>
      <c r="AE117" s="109"/>
      <c r="AF117" s="109"/>
      <c r="AG117" s="109"/>
      <c r="AH117" s="109"/>
      <c r="AI117" s="109"/>
      <c r="AJ117" s="109"/>
      <c r="AK117" s="109"/>
      <c r="AL117" s="109"/>
      <c r="AM117" s="109"/>
      <c r="AN117" s="109"/>
      <c r="AO117" s="109"/>
      <c r="AQ117" s="126"/>
      <c r="AR117" s="127"/>
      <c r="AS117" s="127"/>
      <c r="AU117" s="119"/>
      <c r="AV117" s="119"/>
      <c r="AW117" s="119"/>
      <c r="BB117" s="165"/>
      <c r="BC117" s="69"/>
      <c r="BD117" s="863"/>
      <c r="BE117" s="79">
        <v>7</v>
      </c>
      <c r="BF117" s="100" t="b">
        <f>IF(BL81=7,1)</f>
        <v>0</v>
      </c>
      <c r="BG117" s="101"/>
      <c r="BH117" s="102"/>
      <c r="BI117" s="102"/>
      <c r="BJ117" s="102"/>
      <c r="BK117" s="102"/>
      <c r="BL117" s="102"/>
      <c r="BM117" s="102"/>
      <c r="BN117" s="102"/>
      <c r="BO117" s="102"/>
      <c r="BP117" s="101"/>
      <c r="BQ117" s="101"/>
      <c r="BR117" s="86" t="b">
        <f>IF(BL81=7,13)</f>
        <v>0</v>
      </c>
      <c r="BS117" s="60"/>
      <c r="BT117" s="60"/>
      <c r="BU117" s="60"/>
      <c r="BV117" s="60"/>
      <c r="BW117" s="141"/>
      <c r="BX117" s="60"/>
      <c r="BY117" s="140"/>
      <c r="BZ117" s="60"/>
      <c r="CA117" s="60"/>
      <c r="CB117" s="60"/>
      <c r="CC117" s="60"/>
      <c r="CD117" s="62"/>
      <c r="CE117" s="62"/>
      <c r="CF117" s="62"/>
      <c r="CG117" s="62"/>
      <c r="CH117" s="62"/>
      <c r="CI117" s="62"/>
      <c r="CJ117" s="62"/>
      <c r="CK117" s="62"/>
      <c r="CL117" s="62"/>
      <c r="CM117" s="62"/>
      <c r="CN117" s="62"/>
      <c r="CO117" s="62"/>
      <c r="CP117" s="62"/>
      <c r="CQ117" s="62"/>
      <c r="CR117" s="62"/>
      <c r="CS117" s="62"/>
    </row>
    <row r="118" spans="2:97" ht="21" hidden="1" thickBot="1" x14ac:dyDescent="0.25">
      <c r="G118" s="927"/>
      <c r="H118" s="43"/>
      <c r="I118" s="43"/>
      <c r="J118" s="43"/>
      <c r="K118" s="43"/>
      <c r="L118" s="43"/>
      <c r="M118" s="43"/>
      <c r="N118" s="43"/>
      <c r="O118" s="935"/>
      <c r="T118" s="109"/>
      <c r="U118" s="109"/>
      <c r="V118" s="109"/>
      <c r="W118" s="109"/>
      <c r="X118" s="109"/>
      <c r="Y118" s="109"/>
      <c r="Z118" s="109"/>
      <c r="AA118" s="109"/>
      <c r="AB118" s="109"/>
      <c r="AC118" s="109"/>
      <c r="AD118" s="109"/>
      <c r="AE118" s="109"/>
      <c r="AF118" s="109"/>
      <c r="AG118" s="109"/>
      <c r="AH118" s="109"/>
      <c r="AI118" s="109"/>
      <c r="AJ118" s="109"/>
      <c r="AK118" s="109"/>
      <c r="AL118" s="109"/>
      <c r="AM118" s="109"/>
      <c r="AN118" s="109"/>
      <c r="AO118" s="109"/>
      <c r="AQ118" s="126"/>
      <c r="AR118" s="127"/>
      <c r="AS118" s="127"/>
      <c r="AU118" s="119"/>
      <c r="AV118" s="119"/>
      <c r="AW118" s="119"/>
      <c r="BB118" s="165"/>
      <c r="BC118" s="69"/>
      <c r="BD118" s="863"/>
      <c r="BE118" s="79">
        <v>6</v>
      </c>
      <c r="BF118" s="103" t="b">
        <f>IF(BK81=6,1)</f>
        <v>0</v>
      </c>
      <c r="BG118" s="106"/>
      <c r="BH118" s="106"/>
      <c r="BI118" s="106"/>
      <c r="BJ118" s="106"/>
      <c r="BK118" s="106"/>
      <c r="BL118" s="106"/>
      <c r="BM118" s="106"/>
      <c r="BN118" s="106"/>
      <c r="BO118" s="106"/>
      <c r="BP118" s="107" t="b">
        <f>IF(BK81=6,11)</f>
        <v>0</v>
      </c>
      <c r="BQ118" s="60"/>
      <c r="BR118" s="60"/>
      <c r="BS118" s="60"/>
      <c r="BT118" s="60"/>
      <c r="BU118" s="60"/>
      <c r="BV118" s="60"/>
      <c r="BW118" s="141"/>
      <c r="BX118" s="60"/>
      <c r="BY118" s="140"/>
      <c r="BZ118" s="60"/>
      <c r="CA118" s="60"/>
      <c r="CB118" s="60"/>
      <c r="CC118" s="60"/>
      <c r="CD118" s="62"/>
      <c r="CE118" s="62"/>
      <c r="CF118" s="62"/>
      <c r="CG118" s="62"/>
      <c r="CH118" s="62"/>
      <c r="CI118" s="62"/>
      <c r="CJ118" s="62"/>
      <c r="CK118" s="62"/>
      <c r="CL118" s="62"/>
      <c r="CM118" s="62"/>
      <c r="CN118" s="62"/>
      <c r="CO118" s="62"/>
      <c r="CP118" s="62"/>
      <c r="CQ118" s="62"/>
      <c r="CR118" s="62"/>
      <c r="CS118" s="62"/>
    </row>
    <row r="119" spans="2:97" ht="21" hidden="1" thickBot="1" x14ac:dyDescent="0.25">
      <c r="G119" s="927"/>
      <c r="H119" s="43"/>
      <c r="I119" s="43"/>
      <c r="J119" s="43"/>
      <c r="K119" s="43"/>
      <c r="L119" s="43"/>
      <c r="M119" s="43"/>
      <c r="N119" s="43"/>
      <c r="O119" s="935"/>
      <c r="T119" s="109"/>
      <c r="U119" s="109"/>
      <c r="V119" s="109"/>
      <c r="W119" s="109"/>
      <c r="X119" s="109"/>
      <c r="Y119" s="109"/>
      <c r="Z119" s="109"/>
      <c r="AA119" s="109"/>
      <c r="AB119" s="109"/>
      <c r="AC119" s="109"/>
      <c r="AD119" s="109"/>
      <c r="AE119" s="109"/>
      <c r="AF119" s="109"/>
      <c r="AG119" s="109"/>
      <c r="AH119" s="109"/>
      <c r="AI119" s="109"/>
      <c r="AJ119" s="109"/>
      <c r="AK119" s="109"/>
      <c r="AL119" s="109"/>
      <c r="AM119" s="109"/>
      <c r="AN119" s="109"/>
      <c r="AO119" s="109"/>
      <c r="AQ119" s="126"/>
      <c r="AR119" s="127"/>
      <c r="AS119" s="127"/>
      <c r="AT119" s="119"/>
      <c r="AU119" s="119"/>
      <c r="AV119" s="119"/>
      <c r="AW119" s="119"/>
      <c r="BB119" s="165"/>
      <c r="BC119" s="69"/>
      <c r="BD119" s="863"/>
      <c r="BE119" s="79">
        <v>5</v>
      </c>
      <c r="BF119" s="103" t="b">
        <f>IF(BJ81=5,1)</f>
        <v>0</v>
      </c>
      <c r="BG119" s="105"/>
      <c r="BH119" s="106"/>
      <c r="BI119" s="106"/>
      <c r="BJ119" s="106"/>
      <c r="BK119" s="106"/>
      <c r="BL119" s="106"/>
      <c r="BM119" s="105"/>
      <c r="BN119" s="107" t="b">
        <f>IF(BJ81=5,9)</f>
        <v>0</v>
      </c>
      <c r="BO119" s="60"/>
      <c r="BP119" s="60"/>
      <c r="BQ119" s="60"/>
      <c r="BR119" s="60"/>
      <c r="BS119" s="60"/>
      <c r="BT119" s="60"/>
      <c r="BU119" s="60"/>
      <c r="BV119" s="60"/>
      <c r="BW119" s="141"/>
      <c r="BX119" s="60"/>
      <c r="BY119" s="140"/>
      <c r="BZ119" s="60"/>
      <c r="CA119" s="60"/>
      <c r="CB119" s="60"/>
      <c r="CC119" s="60"/>
      <c r="CD119" s="62"/>
      <c r="CE119" s="62"/>
      <c r="CF119" s="62"/>
      <c r="CG119" s="62"/>
      <c r="CH119" s="62"/>
      <c r="CI119" s="62"/>
      <c r="CJ119" s="62"/>
      <c r="CK119" s="62"/>
      <c r="CL119" s="62"/>
      <c r="CM119" s="62"/>
      <c r="CN119" s="62"/>
      <c r="CO119" s="62"/>
      <c r="CP119" s="62"/>
      <c r="CQ119" s="62"/>
      <c r="CR119" s="62"/>
      <c r="CS119" s="62"/>
    </row>
    <row r="120" spans="2:97" ht="21" hidden="1" thickBot="1" x14ac:dyDescent="0.25">
      <c r="G120" s="927"/>
      <c r="H120" s="43"/>
      <c r="I120" s="43"/>
      <c r="J120" s="43"/>
      <c r="K120" s="43"/>
      <c r="L120" s="43"/>
      <c r="M120" s="43"/>
      <c r="N120" s="43"/>
      <c r="O120" s="935"/>
      <c r="T120" s="109"/>
      <c r="U120" s="109"/>
      <c r="V120" s="109"/>
      <c r="W120" s="109"/>
      <c r="X120" s="109"/>
      <c r="Y120" s="109"/>
      <c r="Z120" s="109"/>
      <c r="AA120" s="109"/>
      <c r="AB120" s="109"/>
      <c r="AC120" s="109"/>
      <c r="AD120" s="109"/>
      <c r="AE120" s="109"/>
      <c r="AF120" s="109"/>
      <c r="AG120" s="109"/>
      <c r="AH120" s="109"/>
      <c r="AI120" s="109"/>
      <c r="AJ120" s="109"/>
      <c r="AK120" s="109"/>
      <c r="AL120" s="109"/>
      <c r="AM120" s="109"/>
      <c r="AN120" s="109"/>
      <c r="AO120" s="109"/>
      <c r="AQ120" s="126"/>
      <c r="AR120" s="127"/>
      <c r="AS120" s="127"/>
      <c r="AU120" s="119"/>
      <c r="AV120" s="119"/>
      <c r="AW120" s="119"/>
      <c r="BB120" s="165"/>
      <c r="BC120" s="69"/>
      <c r="BD120" s="863"/>
      <c r="BE120" s="79">
        <v>4</v>
      </c>
      <c r="BF120" s="103" t="b">
        <f>IF(BI81=4,1)</f>
        <v>0</v>
      </c>
      <c r="BG120" s="106"/>
      <c r="BH120" s="106"/>
      <c r="BI120" s="106"/>
      <c r="BJ120" s="106"/>
      <c r="BK120" s="106"/>
      <c r="BL120" s="107" t="b">
        <f>IF(BI81=4,7)</f>
        <v>0</v>
      </c>
      <c r="BM120" s="60"/>
      <c r="BN120" s="142"/>
      <c r="BO120" s="142"/>
      <c r="BP120" s="60"/>
      <c r="BQ120" s="142"/>
      <c r="BR120" s="60"/>
      <c r="BS120" s="60"/>
      <c r="BT120" s="60"/>
      <c r="BU120" s="60"/>
      <c r="BV120" s="60"/>
      <c r="BW120" s="141"/>
      <c r="BX120" s="60"/>
      <c r="BY120" s="140"/>
      <c r="BZ120" s="60"/>
      <c r="CA120" s="60"/>
      <c r="CB120" s="60"/>
      <c r="CC120" s="60"/>
      <c r="CD120" s="62"/>
      <c r="CE120" s="62"/>
      <c r="CF120" s="62"/>
      <c r="CG120" s="62"/>
      <c r="CH120" s="62"/>
      <c r="CI120" s="62"/>
      <c r="CJ120" s="62"/>
      <c r="CK120" s="62"/>
      <c r="CL120" s="62"/>
      <c r="CM120" s="62"/>
      <c r="CN120" s="62"/>
      <c r="CO120" s="62"/>
      <c r="CP120" s="62"/>
      <c r="CQ120" s="62"/>
      <c r="CR120" s="62"/>
      <c r="CS120" s="62"/>
    </row>
    <row r="121" spans="2:97" ht="21" hidden="1" thickBot="1" x14ac:dyDescent="0.25">
      <c r="G121" s="927"/>
      <c r="H121" s="43"/>
      <c r="I121" s="43"/>
      <c r="J121" s="43"/>
      <c r="K121" s="43"/>
      <c r="L121" s="43"/>
      <c r="M121" s="43"/>
      <c r="N121" s="43"/>
      <c r="O121" s="935"/>
      <c r="T121" s="109"/>
      <c r="U121" s="109"/>
      <c r="V121" s="109"/>
      <c r="W121" s="109"/>
      <c r="X121" s="109"/>
      <c r="Y121" s="109"/>
      <c r="Z121" s="109"/>
      <c r="AA121" s="109"/>
      <c r="AB121" s="109"/>
      <c r="AC121" s="109"/>
      <c r="AD121" s="109"/>
      <c r="AE121" s="109"/>
      <c r="AF121" s="109"/>
      <c r="AG121" s="109"/>
      <c r="AH121" s="109"/>
      <c r="AI121" s="109"/>
      <c r="AJ121" s="109"/>
      <c r="AK121" s="109"/>
      <c r="AL121" s="109"/>
      <c r="AM121" s="109"/>
      <c r="AN121" s="109"/>
      <c r="AO121" s="109"/>
      <c r="AQ121" s="126"/>
      <c r="AR121" s="127"/>
      <c r="AS121" s="127"/>
      <c r="AT121" s="119"/>
      <c r="AU121" s="119"/>
      <c r="AV121" s="119"/>
      <c r="AW121" s="119"/>
      <c r="BB121" s="165"/>
      <c r="BC121" s="69"/>
      <c r="BD121" s="863"/>
      <c r="BE121" s="79">
        <v>3</v>
      </c>
      <c r="BF121" s="103" t="b">
        <f>IF(BH81=3,1)</f>
        <v>0</v>
      </c>
      <c r="BG121" s="106"/>
      <c r="BH121" s="106"/>
      <c r="BI121" s="106"/>
      <c r="BJ121" s="107" t="b">
        <f>IF(BH81=3,5)</f>
        <v>0</v>
      </c>
      <c r="BK121" s="60"/>
      <c r="BL121" s="60"/>
      <c r="BM121" s="60"/>
      <c r="BN121" s="60"/>
      <c r="BO121" s="60"/>
      <c r="BP121" s="60"/>
      <c r="BQ121" s="60"/>
      <c r="BR121" s="60"/>
      <c r="BS121" s="60"/>
      <c r="BT121" s="60"/>
      <c r="BU121" s="60"/>
      <c r="BV121" s="60"/>
      <c r="BW121" s="141"/>
      <c r="BX121" s="60"/>
      <c r="BY121" s="140"/>
      <c r="BZ121" s="60"/>
      <c r="CA121" s="60"/>
      <c r="CB121" s="60"/>
      <c r="CC121" s="60"/>
      <c r="CD121" s="62"/>
      <c r="CE121" s="62"/>
      <c r="CF121" s="62"/>
      <c r="CG121" s="62"/>
      <c r="CH121" s="62"/>
      <c r="CI121" s="62"/>
      <c r="CJ121" s="62"/>
      <c r="CK121" s="62"/>
      <c r="CL121" s="62"/>
      <c r="CM121" s="62"/>
      <c r="CN121" s="62"/>
      <c r="CO121" s="62"/>
      <c r="CP121" s="62"/>
      <c r="CQ121" s="62"/>
      <c r="CR121" s="62"/>
      <c r="CS121" s="62"/>
    </row>
    <row r="122" spans="2:97" ht="20" hidden="1" x14ac:dyDescent="0.2">
      <c r="G122" s="927"/>
      <c r="H122" s="43"/>
      <c r="I122" s="43"/>
      <c r="J122" s="43"/>
      <c r="K122" s="43"/>
      <c r="L122" s="43"/>
      <c r="M122" s="43"/>
      <c r="N122" s="43"/>
      <c r="O122" s="935"/>
      <c r="T122" s="109"/>
      <c r="U122" s="109"/>
      <c r="V122" s="109"/>
      <c r="W122" s="109"/>
      <c r="X122" s="109"/>
      <c r="Y122" s="109"/>
      <c r="Z122" s="109"/>
      <c r="AA122" s="109"/>
      <c r="AB122" s="109"/>
      <c r="AC122" s="109"/>
      <c r="AD122" s="109"/>
      <c r="AE122" s="109"/>
      <c r="AF122" s="109"/>
      <c r="AG122" s="109"/>
      <c r="AH122" s="109"/>
      <c r="AI122" s="109"/>
      <c r="AJ122" s="109"/>
      <c r="AK122" s="109"/>
      <c r="AL122" s="109"/>
      <c r="AM122" s="109"/>
      <c r="AN122" s="109"/>
      <c r="AO122" s="109"/>
      <c r="AQ122" s="126"/>
      <c r="AR122" s="127"/>
      <c r="AS122" s="127"/>
      <c r="AT122" s="119"/>
      <c r="AU122" s="119"/>
      <c r="AV122" s="119"/>
      <c r="AW122" s="119"/>
      <c r="BB122" s="165"/>
      <c r="BC122" s="69"/>
      <c r="BD122" s="863"/>
      <c r="BE122" s="79">
        <v>2</v>
      </c>
      <c r="BF122" s="143" t="b">
        <f>IF(BG81=2,1)</f>
        <v>0</v>
      </c>
      <c r="BG122" s="144"/>
      <c r="BH122" s="145" t="b">
        <f>IF(BG81=2,3)</f>
        <v>0</v>
      </c>
      <c r="BI122" s="60"/>
      <c r="BJ122" s="60"/>
      <c r="BK122" s="60"/>
      <c r="BL122" s="60"/>
      <c r="BM122" s="60"/>
      <c r="BN122" s="60"/>
      <c r="BO122" s="60"/>
      <c r="BP122" s="60"/>
      <c r="BQ122" s="60"/>
      <c r="BR122" s="60"/>
      <c r="BS122" s="60"/>
      <c r="BT122" s="60"/>
      <c r="BU122" s="60"/>
      <c r="BV122" s="60"/>
      <c r="BW122" s="141"/>
      <c r="BX122" s="60"/>
      <c r="BY122" s="140"/>
      <c r="BZ122" s="60"/>
      <c r="CA122" s="60"/>
      <c r="CB122" s="60"/>
      <c r="CC122" s="60"/>
      <c r="CD122" s="62"/>
      <c r="CE122" s="62"/>
      <c r="CF122" s="62"/>
      <c r="CG122" s="62"/>
      <c r="CH122" s="62"/>
      <c r="CI122" s="62"/>
      <c r="CJ122" s="62"/>
      <c r="CK122" s="62"/>
      <c r="CL122" s="62"/>
      <c r="CM122" s="62"/>
      <c r="CN122" s="62"/>
      <c r="CO122" s="62"/>
      <c r="CP122" s="62"/>
      <c r="CQ122" s="62"/>
      <c r="CR122" s="62"/>
      <c r="CS122" s="62"/>
    </row>
    <row r="123" spans="2:97" ht="21" hidden="1" thickBot="1" x14ac:dyDescent="0.25">
      <c r="G123" s="927"/>
      <c r="H123" s="43"/>
      <c r="I123" s="43"/>
      <c r="J123" s="43"/>
      <c r="K123" s="43"/>
      <c r="L123" s="43"/>
      <c r="M123" s="43"/>
      <c r="N123" s="43"/>
      <c r="O123" s="935"/>
      <c r="T123" s="109"/>
      <c r="U123" s="109"/>
      <c r="V123" s="109"/>
      <c r="W123" s="109"/>
      <c r="X123" s="109"/>
      <c r="Y123" s="109"/>
      <c r="Z123" s="109"/>
      <c r="AA123" s="109"/>
      <c r="AB123" s="109"/>
      <c r="AC123" s="109"/>
      <c r="AD123" s="109"/>
      <c r="AE123" s="109"/>
      <c r="AF123" s="109"/>
      <c r="AG123" s="109"/>
      <c r="AH123" s="109"/>
      <c r="AI123" s="109"/>
      <c r="AJ123" s="109"/>
      <c r="AK123" s="109"/>
      <c r="AL123" s="109"/>
      <c r="AM123" s="109"/>
      <c r="AN123" s="109"/>
      <c r="AO123" s="109"/>
      <c r="AQ123" s="126"/>
      <c r="AR123" s="127"/>
      <c r="AS123" s="127"/>
      <c r="AT123" s="119"/>
      <c r="AU123" s="119"/>
      <c r="AV123" s="119"/>
      <c r="AW123" s="119"/>
      <c r="BB123" s="165"/>
      <c r="BC123" s="69"/>
      <c r="BD123" s="863"/>
      <c r="BE123" s="146"/>
      <c r="BF123" s="147">
        <f t="shared" ref="BF123:BV123" si="3">SUM(BF88:BF122)</f>
        <v>0</v>
      </c>
      <c r="BG123" s="147">
        <f t="shared" si="3"/>
        <v>0</v>
      </c>
      <c r="BH123" s="147">
        <f t="shared" si="3"/>
        <v>0</v>
      </c>
      <c r="BI123" s="147">
        <f t="shared" si="3"/>
        <v>0</v>
      </c>
      <c r="BJ123" s="147">
        <f t="shared" si="3"/>
        <v>0</v>
      </c>
      <c r="BK123" s="147">
        <f t="shared" si="3"/>
        <v>6</v>
      </c>
      <c r="BL123" s="147">
        <f t="shared" si="3"/>
        <v>0</v>
      </c>
      <c r="BM123" s="147">
        <f t="shared" si="3"/>
        <v>0</v>
      </c>
      <c r="BN123" s="147">
        <f t="shared" si="3"/>
        <v>0</v>
      </c>
      <c r="BO123" s="147">
        <f t="shared" si="3"/>
        <v>0</v>
      </c>
      <c r="BP123" s="147">
        <f t="shared" si="3"/>
        <v>0</v>
      </c>
      <c r="BQ123" s="147">
        <f t="shared" si="3"/>
        <v>0</v>
      </c>
      <c r="BR123" s="147">
        <f t="shared" si="3"/>
        <v>0</v>
      </c>
      <c r="BS123" s="147">
        <f t="shared" si="3"/>
        <v>0</v>
      </c>
      <c r="BT123" s="147">
        <f t="shared" si="3"/>
        <v>0</v>
      </c>
      <c r="BU123" s="147">
        <f t="shared" si="3"/>
        <v>0</v>
      </c>
      <c r="BV123" s="148">
        <f t="shared" si="3"/>
        <v>0</v>
      </c>
      <c r="BW123" s="149"/>
      <c r="BX123" s="150"/>
      <c r="BY123" s="151"/>
      <c r="BZ123" s="630">
        <f t="shared" ref="BZ123:CP123" si="4">SUM(BZ88:BZ122)</f>
        <v>0</v>
      </c>
      <c r="CA123" s="147">
        <f t="shared" si="4"/>
        <v>0</v>
      </c>
      <c r="CB123" s="147">
        <f t="shared" si="4"/>
        <v>0</v>
      </c>
      <c r="CC123" s="147">
        <f t="shared" si="4"/>
        <v>0</v>
      </c>
      <c r="CD123" s="147">
        <f t="shared" si="4"/>
        <v>0</v>
      </c>
      <c r="CE123" s="147">
        <f t="shared" si="4"/>
        <v>26</v>
      </c>
      <c r="CF123" s="147">
        <f t="shared" si="4"/>
        <v>0</v>
      </c>
      <c r="CG123" s="147">
        <f t="shared" si="4"/>
        <v>0</v>
      </c>
      <c r="CH123" s="147">
        <f t="shared" si="4"/>
        <v>0</v>
      </c>
      <c r="CI123" s="147">
        <f t="shared" si="4"/>
        <v>0</v>
      </c>
      <c r="CJ123" s="147">
        <f t="shared" si="4"/>
        <v>0</v>
      </c>
      <c r="CK123" s="147">
        <f t="shared" si="4"/>
        <v>0</v>
      </c>
      <c r="CL123" s="147">
        <f t="shared" si="4"/>
        <v>0</v>
      </c>
      <c r="CM123" s="147">
        <f t="shared" si="4"/>
        <v>0</v>
      </c>
      <c r="CN123" s="147">
        <f t="shared" si="4"/>
        <v>0</v>
      </c>
      <c r="CO123" s="147">
        <f t="shared" si="4"/>
        <v>0</v>
      </c>
      <c r="CP123" s="147">
        <f t="shared" si="4"/>
        <v>0</v>
      </c>
      <c r="CQ123" s="62"/>
      <c r="CR123" s="62"/>
      <c r="CS123" s="62"/>
    </row>
    <row r="124" spans="2:97" ht="148" thickBot="1" x14ac:dyDescent="0.25">
      <c r="G124" s="927"/>
      <c r="H124" s="43"/>
      <c r="I124" s="808" t="s">
        <v>192</v>
      </c>
      <c r="J124" s="808" t="s">
        <v>191</v>
      </c>
      <c r="K124" s="774" t="s">
        <v>193</v>
      </c>
      <c r="L124" s="775" t="s">
        <v>194</v>
      </c>
      <c r="M124" s="784" t="s">
        <v>198</v>
      </c>
      <c r="N124" s="43"/>
      <c r="O124" s="935"/>
      <c r="T124" s="109"/>
      <c r="U124" s="109"/>
      <c r="V124" s="109"/>
      <c r="W124" s="109"/>
      <c r="X124" s="109"/>
      <c r="Y124" s="109"/>
      <c r="Z124" s="109"/>
      <c r="AA124" s="109"/>
      <c r="AB124" s="109"/>
      <c r="AC124" s="109"/>
      <c r="AD124" s="109"/>
      <c r="AE124" s="109"/>
      <c r="AF124" s="109"/>
      <c r="AG124" s="109"/>
      <c r="AH124" s="109"/>
      <c r="AI124" s="109"/>
      <c r="AJ124" s="109"/>
      <c r="AK124" s="109"/>
      <c r="AL124" s="109"/>
      <c r="AM124" s="109"/>
      <c r="AN124" s="109"/>
      <c r="AO124" s="109"/>
      <c r="AQ124" s="126"/>
      <c r="AR124" s="127"/>
      <c r="AS124" s="127"/>
      <c r="AT124" s="119"/>
      <c r="AU124" s="119"/>
      <c r="AV124" s="119"/>
      <c r="AW124" s="119"/>
      <c r="BB124" s="165"/>
      <c r="BC124" s="69"/>
      <c r="BD124" s="863"/>
      <c r="BE124" s="146"/>
      <c r="BF124" s="153"/>
      <c r="BG124" s="153"/>
      <c r="BH124" s="153"/>
      <c r="BI124" s="153"/>
      <c r="BJ124" s="153"/>
      <c r="BK124" s="153"/>
      <c r="BL124" s="153"/>
      <c r="BM124" s="153"/>
      <c r="BN124" s="153"/>
      <c r="BO124" s="153"/>
      <c r="BP124" s="153"/>
      <c r="BQ124" s="153"/>
      <c r="BR124" s="153"/>
      <c r="BS124" s="153"/>
      <c r="BT124" s="153"/>
      <c r="BU124" s="153"/>
      <c r="BV124" s="153"/>
      <c r="BW124" s="153"/>
      <c r="BX124" s="153"/>
      <c r="BY124" s="153"/>
      <c r="BZ124" s="153"/>
      <c r="CA124" s="153"/>
      <c r="CB124" s="153"/>
      <c r="CC124" s="153"/>
      <c r="CD124" s="153"/>
      <c r="CE124" s="153"/>
      <c r="CF124" s="153"/>
      <c r="CG124" s="153"/>
      <c r="CH124" s="153"/>
      <c r="CI124" s="153"/>
      <c r="CJ124" s="153"/>
      <c r="CK124" s="153"/>
      <c r="CL124" s="153"/>
      <c r="CM124" s="153"/>
      <c r="CN124" s="153"/>
      <c r="CO124" s="153"/>
      <c r="CP124" s="153"/>
      <c r="CQ124" s="62"/>
      <c r="CR124" s="62"/>
      <c r="CS124" s="62"/>
    </row>
    <row r="125" spans="2:97" ht="43.5" customHeight="1" thickBot="1" x14ac:dyDescent="0.3">
      <c r="G125" s="927"/>
      <c r="H125" s="43"/>
      <c r="I125" s="768" t="s">
        <v>185</v>
      </c>
      <c r="J125" s="773" t="s">
        <v>184</v>
      </c>
      <c r="K125" s="772" t="s">
        <v>112</v>
      </c>
      <c r="L125" s="776" t="s">
        <v>112</v>
      </c>
      <c r="M125" s="785" t="s">
        <v>112</v>
      </c>
      <c r="N125" s="43"/>
      <c r="O125" s="935"/>
      <c r="T125" s="109"/>
      <c r="U125" s="109"/>
      <c r="V125" s="109"/>
      <c r="W125" s="109"/>
      <c r="X125" s="109"/>
      <c r="Y125" s="109"/>
      <c r="Z125" s="109"/>
      <c r="AA125" s="109"/>
      <c r="AB125" s="109"/>
      <c r="AC125" s="109"/>
      <c r="AD125" s="109"/>
      <c r="AE125" s="109"/>
      <c r="AF125" s="109"/>
      <c r="AG125" s="109"/>
      <c r="AH125" s="109"/>
      <c r="AI125" s="109"/>
      <c r="AJ125" s="109"/>
      <c r="AK125" s="109"/>
      <c r="AL125" s="109"/>
      <c r="AM125" s="109"/>
      <c r="AN125" s="109"/>
      <c r="AO125" s="109"/>
      <c r="AQ125" s="126"/>
      <c r="AR125" s="127"/>
      <c r="AS125" s="127"/>
      <c r="AT125" s="119"/>
      <c r="AU125" s="119"/>
      <c r="AV125" s="119"/>
      <c r="AW125" s="119"/>
      <c r="BB125" s="165"/>
      <c r="BC125" s="69"/>
      <c r="BD125" s="866" t="s">
        <v>140</v>
      </c>
      <c r="BE125" s="155" t="s">
        <v>109</v>
      </c>
      <c r="BF125" s="593" t="str">
        <f>IF(BF123=1,17,"")</f>
        <v/>
      </c>
      <c r="BG125" s="594" t="str">
        <f>IF(BG123=2,16,"")</f>
        <v/>
      </c>
      <c r="BH125" s="594" t="str">
        <f>IF(BH123=3,15,"")</f>
        <v/>
      </c>
      <c r="BI125" s="594" t="str">
        <f>IF(BI123=4,14,"")</f>
        <v/>
      </c>
      <c r="BJ125" s="594" t="str">
        <f>IF(BJ123=5,13,"")</f>
        <v/>
      </c>
      <c r="BK125" s="594">
        <f>IF(BK123=6,12,"")</f>
        <v>12</v>
      </c>
      <c r="BL125" s="594" t="str">
        <f>IF(BL123=7,11,"")</f>
        <v/>
      </c>
      <c r="BM125" s="594" t="str">
        <f>IF(BM123=8,10,"")</f>
        <v/>
      </c>
      <c r="BN125" s="594" t="str">
        <f>IF(BN123=9,9,"")</f>
        <v/>
      </c>
      <c r="BO125" s="594" t="str">
        <f>IF(BO123=10,8,"")</f>
        <v/>
      </c>
      <c r="BP125" s="594" t="str">
        <f>IF(BP123=11,7,"")</f>
        <v/>
      </c>
      <c r="BQ125" s="595" t="str">
        <f>IF(BQ123=12,"6  ADS ","")</f>
        <v/>
      </c>
      <c r="BR125" s="594" t="str">
        <f>IF(BR123=13,5,"")</f>
        <v/>
      </c>
      <c r="BS125" s="594" t="str">
        <f>IF(BS123=14,4,"")</f>
        <v/>
      </c>
      <c r="BT125" s="594" t="str">
        <f>IF(BT123=15,3,"")</f>
        <v/>
      </c>
      <c r="BU125" s="594" t="str">
        <f>IF(BU123=16,2,"")</f>
        <v/>
      </c>
      <c r="BV125" s="594" t="str">
        <f>IF(BV123=17,1,"")</f>
        <v/>
      </c>
      <c r="BW125" s="156"/>
      <c r="BX125" s="157"/>
      <c r="BY125" s="158"/>
      <c r="BZ125" s="635" t="str">
        <f>IF(BZ123=21,1,"")</f>
        <v/>
      </c>
      <c r="CA125" s="596" t="str">
        <f>IF(CA123=22,2,"")</f>
        <v/>
      </c>
      <c r="CB125" s="596" t="str">
        <f>IF(CB123=23,3,"")</f>
        <v/>
      </c>
      <c r="CC125" s="596" t="str">
        <f>IF(CC123=24,4,"")</f>
        <v/>
      </c>
      <c r="CD125" s="596" t="str">
        <f>IF(CD123=25,5,"")</f>
        <v/>
      </c>
      <c r="CE125" s="597" t="str">
        <f>IF(CE123=26,"6  ADS ","")</f>
        <v xml:space="preserve">6  ADS </v>
      </c>
      <c r="CF125" s="596" t="str">
        <f>IF(CF123=27,7,"")</f>
        <v/>
      </c>
      <c r="CG125" s="596" t="str">
        <f>IF(CG123=28,8,"")</f>
        <v/>
      </c>
      <c r="CH125" s="596" t="str">
        <f>IF(CH123=29,9,"")</f>
        <v/>
      </c>
      <c r="CI125" s="596" t="str">
        <f>IF(CI123=30,10,"")</f>
        <v/>
      </c>
      <c r="CJ125" s="596" t="str">
        <f>IF(CJ123=31,11,"")</f>
        <v/>
      </c>
      <c r="CK125" s="596" t="str">
        <f>IF(CK123=32,12,"")</f>
        <v/>
      </c>
      <c r="CL125" s="596" t="str">
        <f>IF(CL123=33,13,"")</f>
        <v/>
      </c>
      <c r="CM125" s="596" t="str">
        <f>IF(CM123=34,14,"")</f>
        <v/>
      </c>
      <c r="CN125" s="596" t="str">
        <f>IF(CN123=35,15,"")</f>
        <v/>
      </c>
      <c r="CO125" s="596" t="str">
        <f>IF(CO123=36,16,"")</f>
        <v/>
      </c>
      <c r="CP125" s="598" t="str">
        <f>IF(CP123=37,17,"")</f>
        <v/>
      </c>
      <c r="CQ125" s="159"/>
      <c r="CR125" s="62"/>
      <c r="CS125" s="62"/>
    </row>
    <row r="126" spans="2:97" ht="43.5" customHeight="1" thickBot="1" x14ac:dyDescent="0.3">
      <c r="G126" s="927"/>
      <c r="H126" s="936" t="s">
        <v>205</v>
      </c>
      <c r="I126" s="780">
        <f>+MIN(K31:L32)</f>
        <v>107.49187436634318</v>
      </c>
      <c r="J126" s="778">
        <f>+MIN(J37:K38)</f>
        <v>192.07683073229293</v>
      </c>
      <c r="K126" s="777">
        <f>+MIN(J43:L44)</f>
        <v>192.07683073229293</v>
      </c>
      <c r="L126" s="779">
        <f>+MIN(J49:L50)</f>
        <v>83.110167143780586</v>
      </c>
      <c r="M126" s="786">
        <f>+MIN(J55:L56)</f>
        <v>192.07683073229293</v>
      </c>
      <c r="N126" s="43"/>
      <c r="O126" s="935"/>
      <c r="T126" s="109"/>
      <c r="U126" s="109"/>
      <c r="V126" s="109"/>
      <c r="W126" s="109"/>
      <c r="X126" s="109"/>
      <c r="Y126" s="109"/>
      <c r="Z126" s="109"/>
      <c r="AA126" s="109"/>
      <c r="AB126" s="109"/>
      <c r="AC126" s="109"/>
      <c r="AD126" s="109"/>
      <c r="AE126" s="109"/>
      <c r="AF126" s="109"/>
      <c r="AG126" s="109"/>
      <c r="AH126" s="109"/>
      <c r="AI126" s="109"/>
      <c r="AJ126" s="109"/>
      <c r="AK126" s="109"/>
      <c r="AL126" s="109"/>
      <c r="AM126" s="109"/>
      <c r="AN126" s="109"/>
      <c r="AO126" s="109"/>
      <c r="AQ126" s="126"/>
      <c r="AR126" s="127"/>
      <c r="AS126" s="127"/>
      <c r="AT126" s="119"/>
      <c r="AU126" s="119"/>
      <c r="AV126" s="119"/>
      <c r="AW126" s="119"/>
      <c r="BA126" s="767">
        <v>6</v>
      </c>
      <c r="BB126" s="165" t="b">
        <f>AND(BD126&gt;=10,$AN$138&gt;=10,$AO$138&gt;=10)</f>
        <v>1</v>
      </c>
      <c r="BC126" s="67" t="str">
        <f>IF(BB126=TRUE,"O K","OVERLOAD")</f>
        <v>O K</v>
      </c>
      <c r="BD126" s="781">
        <f>SUM(I132:M132)</f>
        <v>192.07683073229293</v>
      </c>
      <c r="BE126" s="631" t="s">
        <v>139</v>
      </c>
      <c r="BF126" s="632">
        <v>-10</v>
      </c>
      <c r="BG126" s="632">
        <v>-9</v>
      </c>
      <c r="BH126" s="632">
        <v>-8</v>
      </c>
      <c r="BI126" s="632">
        <v>-7</v>
      </c>
      <c r="BJ126" s="632">
        <v>-6</v>
      </c>
      <c r="BK126" s="632">
        <v>-5</v>
      </c>
      <c r="BL126" s="632">
        <v>-4</v>
      </c>
      <c r="BM126" s="632">
        <v>-3</v>
      </c>
      <c r="BN126" s="632">
        <v>-2</v>
      </c>
      <c r="BO126" s="632">
        <v>-1</v>
      </c>
      <c r="BP126" s="632">
        <v>0</v>
      </c>
      <c r="BQ126" s="632">
        <v>1</v>
      </c>
      <c r="BR126" s="632">
        <v>2</v>
      </c>
      <c r="BS126" s="632">
        <v>3</v>
      </c>
      <c r="BT126" s="632">
        <v>4</v>
      </c>
      <c r="BU126" s="632">
        <v>5</v>
      </c>
      <c r="BV126" s="632">
        <v>6</v>
      </c>
      <c r="BW126" s="632">
        <v>7</v>
      </c>
      <c r="BX126" s="632">
        <v>8</v>
      </c>
      <c r="BY126" s="632">
        <v>9</v>
      </c>
      <c r="BZ126" s="632">
        <v>10</v>
      </c>
      <c r="CA126" s="632">
        <v>11</v>
      </c>
      <c r="CB126" s="632">
        <v>12</v>
      </c>
      <c r="CC126" s="632">
        <v>13</v>
      </c>
      <c r="CD126" s="632">
        <v>14</v>
      </c>
      <c r="CE126" s="632">
        <v>15</v>
      </c>
      <c r="CF126" s="632">
        <v>16</v>
      </c>
      <c r="CG126" s="632">
        <v>17</v>
      </c>
      <c r="CH126" s="632">
        <v>18</v>
      </c>
      <c r="CI126" s="632">
        <v>19</v>
      </c>
      <c r="CJ126" s="632">
        <v>20</v>
      </c>
      <c r="CK126" s="632">
        <v>21</v>
      </c>
      <c r="CL126" s="632">
        <v>22</v>
      </c>
      <c r="CM126" s="632">
        <v>23</v>
      </c>
      <c r="CN126" s="632">
        <v>24</v>
      </c>
      <c r="CO126" s="632">
        <v>25</v>
      </c>
      <c r="CP126" s="634">
        <v>26</v>
      </c>
      <c r="CQ126" s="62"/>
      <c r="CR126" s="62"/>
      <c r="CS126" s="62"/>
    </row>
    <row r="127" spans="2:97" ht="25" hidden="1" x14ac:dyDescent="0.25">
      <c r="G127" s="937"/>
      <c r="H127" s="109"/>
      <c r="I127" s="109"/>
      <c r="J127" s="109"/>
      <c r="K127" s="109"/>
      <c r="L127" s="109"/>
      <c r="M127" s="109"/>
      <c r="N127" s="109"/>
      <c r="O127" s="938"/>
      <c r="P127" s="114"/>
      <c r="Q127" s="114"/>
      <c r="R127" s="114"/>
      <c r="S127" s="114"/>
      <c r="T127" s="114"/>
      <c r="U127" s="114"/>
      <c r="V127" s="114"/>
      <c r="W127" s="114"/>
      <c r="X127" s="114"/>
      <c r="Y127" s="114"/>
      <c r="Z127" s="114"/>
      <c r="AA127" s="114"/>
      <c r="AB127" s="114"/>
      <c r="AC127" s="114"/>
      <c r="AD127" s="114"/>
      <c r="AE127" s="114"/>
      <c r="AF127" s="114"/>
      <c r="AG127" s="114"/>
      <c r="AH127" s="114"/>
      <c r="AI127" s="114"/>
      <c r="AJ127" s="114"/>
      <c r="AK127" s="114"/>
      <c r="AL127" s="114"/>
      <c r="AM127" s="114"/>
      <c r="AN127" s="114"/>
      <c r="AO127" s="114"/>
      <c r="AP127" s="114"/>
      <c r="AQ127" s="114"/>
      <c r="AR127" s="114"/>
      <c r="AS127" s="183"/>
      <c r="AT127" s="119"/>
      <c r="AU127" s="119"/>
      <c r="AV127" s="119"/>
      <c r="AW127" s="119"/>
      <c r="AX127" s="119"/>
      <c r="AY127" s="119"/>
      <c r="AZ127" s="119"/>
      <c r="BA127" s="119"/>
      <c r="BB127" s="119"/>
      <c r="BC127" s="119"/>
      <c r="BD127" s="863"/>
      <c r="BE127" s="62"/>
      <c r="BF127" s="182"/>
      <c r="BG127" s="182"/>
      <c r="BH127" s="182"/>
      <c r="BI127" s="182"/>
      <c r="BJ127" s="182"/>
      <c r="BK127" s="182"/>
      <c r="BL127" s="182"/>
      <c r="BM127" s="182"/>
      <c r="BN127" s="182"/>
      <c r="BO127" s="182"/>
      <c r="BP127" s="182"/>
      <c r="BQ127" s="182"/>
      <c r="BR127" s="182"/>
      <c r="BS127" s="182"/>
      <c r="BT127" s="182"/>
      <c r="BU127" s="182"/>
      <c r="BV127" s="182"/>
      <c r="BW127" s="182"/>
      <c r="BX127" s="182"/>
      <c r="BY127" s="182"/>
      <c r="BZ127" s="182"/>
      <c r="CA127" s="182"/>
      <c r="CB127" s="182"/>
      <c r="CC127" s="182"/>
      <c r="CD127" s="182"/>
      <c r="CE127" s="182"/>
      <c r="CF127" s="182"/>
      <c r="CG127" s="182"/>
      <c r="CH127" s="182"/>
      <c r="CI127" s="182"/>
      <c r="CJ127" s="182"/>
      <c r="CK127" s="182"/>
      <c r="CL127" s="182"/>
      <c r="CM127" s="182"/>
      <c r="CN127" s="182"/>
      <c r="CO127" s="182"/>
      <c r="CP127" s="182"/>
      <c r="CQ127" s="182"/>
    </row>
    <row r="128" spans="2:97" ht="30" hidden="1" x14ac:dyDescent="0.2">
      <c r="G128" s="927"/>
      <c r="H128" s="184"/>
      <c r="I128" s="184"/>
      <c r="J128" s="184"/>
      <c r="K128" s="184"/>
      <c r="L128" s="184"/>
      <c r="M128" s="184"/>
      <c r="N128" s="184"/>
      <c r="O128" s="812"/>
      <c r="P128" s="184"/>
      <c r="Q128" s="184"/>
      <c r="R128" s="184"/>
      <c r="S128" s="184"/>
      <c r="T128" s="184"/>
      <c r="U128" s="184"/>
      <c r="V128" s="184"/>
      <c r="W128" s="184"/>
      <c r="X128" s="184"/>
      <c r="Y128" s="184"/>
      <c r="Z128" s="184"/>
      <c r="AA128" s="184"/>
      <c r="AB128" s="184"/>
      <c r="AC128" s="184"/>
      <c r="AD128" s="184"/>
      <c r="AE128" s="184"/>
      <c r="AF128" s="184"/>
      <c r="AG128" s="184"/>
      <c r="AH128" s="184"/>
      <c r="AI128" s="184"/>
      <c r="AJ128" s="184"/>
      <c r="AK128" s="184"/>
      <c r="AL128" s="184"/>
      <c r="AM128" s="184"/>
      <c r="AN128" s="184"/>
      <c r="AO128" s="184"/>
      <c r="AP128" s="184"/>
      <c r="AQ128" s="184"/>
      <c r="AR128" s="184"/>
      <c r="AT128" s="119"/>
      <c r="AU128" s="119"/>
      <c r="AV128" s="119"/>
      <c r="AW128" s="119"/>
      <c r="AX128" s="119"/>
      <c r="AY128" s="119"/>
      <c r="AZ128" s="119"/>
      <c r="BA128" s="119"/>
      <c r="BB128" s="119"/>
      <c r="BC128" s="119"/>
      <c r="BD128" s="863"/>
      <c r="BE128" s="60"/>
      <c r="BF128" s="60"/>
      <c r="BG128" s="60"/>
      <c r="BH128" s="60"/>
      <c r="BI128" s="60"/>
      <c r="BJ128" s="60"/>
      <c r="BK128" s="185"/>
      <c r="BL128" s="185"/>
      <c r="BM128" s="185"/>
      <c r="BN128" s="185"/>
      <c r="BO128" s="185"/>
      <c r="BP128" s="185"/>
      <c r="BQ128" s="185"/>
      <c r="BR128" s="185"/>
      <c r="BS128" s="185"/>
      <c r="BT128" s="185"/>
      <c r="BU128" s="185"/>
      <c r="BV128" s="185"/>
      <c r="BW128" s="185"/>
      <c r="BX128" s="185"/>
      <c r="BY128" s="62"/>
      <c r="BZ128" s="62"/>
      <c r="CA128" s="62"/>
      <c r="CB128" s="62"/>
      <c r="CC128" s="62"/>
      <c r="CD128" s="62"/>
      <c r="CE128" s="62"/>
      <c r="CF128" s="62"/>
      <c r="CG128" s="62"/>
      <c r="CH128" s="62"/>
      <c r="CI128" s="62"/>
      <c r="CJ128" s="62"/>
      <c r="CK128" s="62"/>
      <c r="CL128" s="62"/>
      <c r="CM128" s="62"/>
      <c r="CN128" s="62"/>
      <c r="CO128" s="62"/>
      <c r="CP128" s="62"/>
      <c r="CQ128" s="62"/>
      <c r="CR128" s="62"/>
      <c r="CS128" s="62"/>
    </row>
    <row r="129" spans="2:97" hidden="1" x14ac:dyDescent="0.2">
      <c r="G129" s="927"/>
      <c r="H129" s="43"/>
      <c r="I129" s="43"/>
      <c r="J129" s="43"/>
      <c r="K129" s="43"/>
      <c r="L129" s="43"/>
      <c r="M129" s="43"/>
      <c r="N129" s="43"/>
      <c r="O129" s="935"/>
      <c r="T129" s="109"/>
      <c r="U129" s="109"/>
      <c r="V129" s="109"/>
      <c r="W129" s="109"/>
      <c r="X129" s="109"/>
      <c r="Y129" s="109"/>
      <c r="Z129" s="109"/>
      <c r="AA129" s="109"/>
      <c r="AB129" s="109"/>
      <c r="AC129" s="109"/>
      <c r="AD129" s="109"/>
      <c r="AE129" s="109"/>
      <c r="AF129" s="109"/>
      <c r="AG129" s="109"/>
      <c r="AH129" s="109"/>
      <c r="AI129" s="109"/>
      <c r="AJ129" s="109"/>
      <c r="AK129" s="109"/>
      <c r="AL129" s="109"/>
      <c r="AM129" s="109"/>
      <c r="AN129" s="109"/>
      <c r="AO129" s="109"/>
      <c r="AQ129" s="126"/>
      <c r="AR129" s="127"/>
      <c r="AT129" s="119"/>
      <c r="AU129" s="119"/>
      <c r="AV129" s="119"/>
      <c r="AW129" s="119"/>
      <c r="AX129" s="119"/>
      <c r="AY129" s="119"/>
      <c r="AZ129" s="119"/>
      <c r="BA129" s="119"/>
      <c r="BB129" s="119"/>
      <c r="BC129" s="119"/>
      <c r="BD129" s="863"/>
      <c r="BE129" s="109"/>
      <c r="BF129" s="109"/>
      <c r="BG129" s="109"/>
      <c r="BH129" s="109"/>
      <c r="BI129" s="109"/>
      <c r="BJ129" s="109"/>
      <c r="BK129" s="186"/>
      <c r="BL129" s="186"/>
      <c r="BM129" s="186"/>
      <c r="BN129" s="186"/>
      <c r="BO129" s="186"/>
      <c r="BP129" s="186"/>
      <c r="BQ129" s="186"/>
      <c r="BR129" s="186"/>
      <c r="BS129" s="186"/>
      <c r="BT129" s="186"/>
      <c r="BU129" s="186"/>
      <c r="BV129" s="186"/>
      <c r="BW129" s="186"/>
      <c r="BX129" s="186"/>
    </row>
    <row r="130" spans="2:97" ht="19" hidden="1" thickBot="1" x14ac:dyDescent="0.25">
      <c r="G130" s="927"/>
      <c r="H130" s="43"/>
      <c r="I130" s="43"/>
      <c r="J130" s="43"/>
      <c r="K130" s="43"/>
      <c r="L130" s="43"/>
      <c r="M130" s="43"/>
      <c r="N130" s="43"/>
      <c r="O130" s="935"/>
      <c r="T130" s="109"/>
      <c r="U130" s="109"/>
      <c r="V130" s="109"/>
      <c r="W130" s="109"/>
      <c r="X130" s="109"/>
      <c r="Y130" s="109"/>
      <c r="Z130" s="109"/>
      <c r="AA130" s="109"/>
      <c r="AB130" s="109"/>
      <c r="AC130" s="109"/>
      <c r="AD130" s="109"/>
      <c r="AE130" s="109"/>
      <c r="AF130" s="109"/>
      <c r="AG130" s="109"/>
      <c r="AH130" s="109"/>
      <c r="AI130" s="109"/>
      <c r="AJ130" s="109"/>
      <c r="AK130" s="109"/>
      <c r="AL130" s="109"/>
      <c r="AM130" s="109"/>
      <c r="AN130" s="109"/>
      <c r="AO130" s="109"/>
      <c r="AQ130" s="126"/>
      <c r="AR130" s="127"/>
      <c r="AS130" s="127"/>
      <c r="AT130" s="119"/>
      <c r="AU130" s="119"/>
      <c r="AV130" s="119"/>
      <c r="AW130" s="119"/>
      <c r="AX130" s="119"/>
      <c r="AY130" s="119"/>
      <c r="BA130" s="187" t="s">
        <v>53</v>
      </c>
      <c r="BB130" s="119"/>
      <c r="BC130" s="170"/>
      <c r="BD130" s="863"/>
      <c r="BE130" s="48"/>
      <c r="BH130" s="109"/>
      <c r="BI130" s="109"/>
      <c r="BJ130" s="109"/>
      <c r="BK130" s="186"/>
      <c r="BL130" s="186"/>
      <c r="BM130" s="186"/>
      <c r="BN130" s="186"/>
      <c r="BO130" s="186"/>
      <c r="BP130" s="186"/>
      <c r="BQ130" s="186"/>
      <c r="BR130" s="186"/>
      <c r="BS130" s="186"/>
      <c r="BT130" s="186"/>
      <c r="BU130" s="186"/>
      <c r="BV130" s="186"/>
      <c r="BW130" s="186"/>
      <c r="BX130" s="186"/>
      <c r="CG130" s="48"/>
      <c r="CS130" s="187" t="s">
        <v>52</v>
      </c>
    </row>
    <row r="131" spans="2:97" ht="59.25" customHeight="1" thickBot="1" x14ac:dyDescent="0.3">
      <c r="B131" s="188" t="s">
        <v>136</v>
      </c>
      <c r="C131" s="189"/>
      <c r="D131" s="190" t="str">
        <f>IF(BA131&gt;0," ","change the angle of frame or of cabinets")</f>
        <v xml:space="preserve"> </v>
      </c>
      <c r="E131" s="191"/>
      <c r="F131" s="191"/>
      <c r="G131" s="813"/>
      <c r="H131" s="192"/>
      <c r="I131" s="939">
        <f>COUNTIF(BZ123:CP123,"&gt;0")</f>
        <v>1</v>
      </c>
      <c r="J131" s="939">
        <f>COUNTIF(BF123:BV123,"&gt;0")</f>
        <v>1</v>
      </c>
      <c r="K131" s="939" t="b">
        <f>AND(IF(SUM(BF125:BP125)&gt;0,1,0),IF(CE125="6  ADS ",1,0))</f>
        <v>1</v>
      </c>
      <c r="L131" s="939" t="b">
        <f>AND(IF(SUM(CF125:CP125)&gt;0,1,0),IF(BQ125="6  ADS ",1,0))</f>
        <v>0</v>
      </c>
      <c r="M131" s="939" t="b">
        <f>AND(IF(CE125="6  ADS ",1,0),IF(BQ125="6  ADS ",1,0))</f>
        <v>0</v>
      </c>
      <c r="N131" s="192"/>
      <c r="O131" s="814"/>
      <c r="P131" s="192"/>
      <c r="Q131" s="645" t="s">
        <v>137</v>
      </c>
      <c r="R131" s="637"/>
      <c r="S131" s="637"/>
      <c r="T131" s="637"/>
      <c r="U131" s="638"/>
      <c r="V131" s="639"/>
      <c r="W131" s="639"/>
      <c r="X131" s="646" t="s">
        <v>138</v>
      </c>
      <c r="Y131" s="192"/>
      <c r="Z131" s="193"/>
      <c r="AA131" s="193"/>
      <c r="AB131" s="193"/>
      <c r="AC131" s="193"/>
      <c r="AD131" s="193"/>
      <c r="AE131" s="193"/>
      <c r="AF131" s="193"/>
      <c r="AG131" s="193"/>
      <c r="AH131" s="193"/>
      <c r="AI131" s="193"/>
      <c r="AJ131" s="193"/>
      <c r="AK131" s="193"/>
      <c r="AL131" s="193"/>
      <c r="AM131" s="193"/>
      <c r="AN131" s="193"/>
      <c r="AO131" s="193"/>
      <c r="AP131" s="192"/>
      <c r="AQ131" s="193"/>
      <c r="AR131" s="193"/>
      <c r="AS131" s="194"/>
      <c r="AT131" s="119"/>
      <c r="AU131" s="119"/>
      <c r="AV131" s="119"/>
      <c r="AW131" s="119"/>
      <c r="AX131" s="119"/>
      <c r="AY131" s="119"/>
      <c r="AZ131" s="195"/>
      <c r="BA131" s="187">
        <f>-+AW162</f>
        <v>642.7944616070439</v>
      </c>
      <c r="BB131" s="119"/>
      <c r="BC131" s="170"/>
      <c r="BD131" s="863"/>
      <c r="BE131" s="48"/>
      <c r="BH131" s="109"/>
      <c r="BI131" s="109"/>
      <c r="BJ131" s="109"/>
      <c r="BK131" s="186"/>
      <c r="BL131" s="186"/>
      <c r="BM131" s="186"/>
      <c r="BN131" s="186"/>
      <c r="BO131" s="186"/>
      <c r="BP131" s="186"/>
      <c r="BQ131" s="186"/>
      <c r="BR131" s="186"/>
      <c r="BS131" s="186"/>
      <c r="BT131" s="186"/>
      <c r="BU131" s="186"/>
      <c r="BV131" s="186"/>
      <c r="BW131" s="186"/>
      <c r="BX131" s="186"/>
      <c r="CE131" s="195"/>
      <c r="CG131" s="48"/>
      <c r="CS131" s="187">
        <f>+-AW198</f>
        <v>-905.2055383929561</v>
      </c>
    </row>
    <row r="132" spans="2:97" ht="59.25" customHeight="1" thickBot="1" x14ac:dyDescent="0.3">
      <c r="B132" s="1">
        <v>0</v>
      </c>
      <c r="D132" s="190" t="str">
        <f>IF(CS131&lt;0," ","change the angle of frame or of cabinets")</f>
        <v xml:space="preserve"> </v>
      </c>
      <c r="E132" s="191"/>
      <c r="F132" s="191"/>
      <c r="G132" s="815"/>
      <c r="H132" s="816"/>
      <c r="I132" s="940">
        <f>IF(I131=2,I126,0)</f>
        <v>0</v>
      </c>
      <c r="J132" s="940">
        <f>IF(J131=2,J126,0)</f>
        <v>0</v>
      </c>
      <c r="K132" s="940">
        <f t="shared" ref="K132:M132" si="5">IF(K131=TRUE,K126,0)</f>
        <v>192.07683073229293</v>
      </c>
      <c r="L132" s="940">
        <f t="shared" si="5"/>
        <v>0</v>
      </c>
      <c r="M132" s="940">
        <f t="shared" si="5"/>
        <v>0</v>
      </c>
      <c r="N132" s="816"/>
      <c r="O132" s="817"/>
      <c r="P132" s="192"/>
      <c r="Q132" s="581" t="s">
        <v>129</v>
      </c>
      <c r="R132" s="640" t="s">
        <v>130</v>
      </c>
      <c r="S132" s="640" t="s">
        <v>131</v>
      </c>
      <c r="T132" s="641" t="s">
        <v>135</v>
      </c>
      <c r="U132" s="638"/>
      <c r="V132" s="639"/>
      <c r="W132" s="639"/>
      <c r="X132" s="895" t="s">
        <v>133</v>
      </c>
      <c r="Y132" s="192"/>
      <c r="Z132" s="192"/>
      <c r="AA132" s="192"/>
      <c r="AB132" s="192"/>
      <c r="AC132" s="192"/>
      <c r="AD132" s="192"/>
      <c r="AE132" s="192"/>
      <c r="AF132" s="193"/>
      <c r="AG132" s="193"/>
      <c r="AH132" s="193"/>
      <c r="AI132" s="193"/>
      <c r="AJ132" s="193"/>
      <c r="AK132" s="193"/>
      <c r="AL132" s="193"/>
      <c r="AM132" s="193"/>
      <c r="AN132" s="193"/>
      <c r="AO132" s="193"/>
      <c r="AP132" s="192"/>
      <c r="AQ132" s="193"/>
      <c r="AR132" s="193"/>
      <c r="AS132" s="194"/>
      <c r="BB132" s="119"/>
      <c r="BC132" s="119"/>
      <c r="BD132" s="863"/>
      <c r="BE132" s="109"/>
      <c r="BF132" s="109"/>
      <c r="BG132" s="109"/>
      <c r="BH132" s="109"/>
      <c r="BI132" s="109"/>
      <c r="BJ132" s="109"/>
      <c r="BK132" s="186"/>
      <c r="BL132" s="186"/>
      <c r="BM132" s="186"/>
      <c r="BN132" s="186"/>
      <c r="BO132" s="186"/>
      <c r="BP132" s="186"/>
      <c r="BQ132" s="186"/>
      <c r="BR132" s="186"/>
      <c r="BS132" s="186"/>
      <c r="BT132" s="186"/>
      <c r="BU132" s="186"/>
      <c r="BV132" s="186"/>
      <c r="BW132" s="186"/>
      <c r="BX132" s="186"/>
    </row>
    <row r="133" spans="2:97" ht="59.25" customHeight="1" thickBot="1" x14ac:dyDescent="0.35">
      <c r="B133" s="1107" t="s">
        <v>228</v>
      </c>
      <c r="C133" s="196"/>
      <c r="D133" s="190" t="str">
        <f>IF(BA131&gt;(+COS(($B$132*-1)*3.14159265358979/180)*451.5)," ","USE EXBAR AR AT THE FRONT")</f>
        <v xml:space="preserve"> </v>
      </c>
      <c r="E133" s="191"/>
      <c r="F133" s="191"/>
      <c r="G133" s="191"/>
      <c r="H133" s="192"/>
      <c r="I133" s="192"/>
      <c r="J133" s="192"/>
      <c r="K133" s="192"/>
      <c r="L133" s="192"/>
      <c r="M133" s="192"/>
      <c r="N133" s="192"/>
      <c r="O133" s="192"/>
      <c r="P133" s="192"/>
      <c r="Q133" s="581">
        <v>11.273523300000001</v>
      </c>
      <c r="R133" s="640">
        <f>+$B$132-Q133</f>
        <v>-11.273523300000001</v>
      </c>
      <c r="S133" s="643">
        <f>COS(R133*3.14159265358979/180)</f>
        <v>0.980705101650998</v>
      </c>
      <c r="T133" s="636">
        <f>+S133*231.4661</f>
        <v>226.99998512926007</v>
      </c>
      <c r="U133" s="638"/>
      <c r="V133" s="639"/>
      <c r="W133" s="639"/>
      <c r="X133" s="896">
        <f>+((X138*AF138)+(T133*19))/(AF138+19)</f>
        <v>217.29447530964683</v>
      </c>
      <c r="Y133" s="192"/>
      <c r="Z133" s="192"/>
      <c r="AA133" s="209"/>
      <c r="AB133" s="582"/>
      <c r="AC133" s="192"/>
      <c r="AD133" s="192"/>
      <c r="AE133" s="192"/>
      <c r="AF133" s="193"/>
      <c r="AG133" s="193"/>
      <c r="AH133" s="193"/>
      <c r="AI133" s="193"/>
      <c r="AJ133" s="193"/>
      <c r="AK133" s="193"/>
      <c r="AL133" s="193"/>
      <c r="AM133" s="193"/>
      <c r="AN133" s="193"/>
      <c r="AO133" s="193"/>
      <c r="AP133" s="192"/>
      <c r="AQ133" s="89"/>
      <c r="AR133" s="193"/>
      <c r="BB133" s="197"/>
      <c r="BC133" s="197"/>
      <c r="BD133" s="197"/>
      <c r="BE133" s="109"/>
      <c r="BF133" s="109"/>
      <c r="BG133" s="109"/>
      <c r="BH133" s="109"/>
      <c r="BI133" s="109"/>
      <c r="BJ133" s="109"/>
      <c r="BK133" s="186"/>
      <c r="BL133" s="186"/>
      <c r="BM133" s="186"/>
      <c r="BN133" s="186"/>
      <c r="BO133" s="186"/>
      <c r="BP133" s="186"/>
      <c r="BQ133" s="186"/>
      <c r="BR133" s="186"/>
      <c r="BS133" s="186"/>
      <c r="BT133" s="186"/>
      <c r="BU133" s="186"/>
      <c r="BV133" s="186"/>
      <c r="BW133" s="186"/>
      <c r="BX133" s="186"/>
    </row>
    <row r="134" spans="2:97" ht="59.25" customHeight="1" thickBot="1" x14ac:dyDescent="0.35">
      <c r="B134" s="1108"/>
      <c r="C134" s="196"/>
      <c r="D134" s="198" t="str">
        <f>IF(CS131&lt;-(+COS(($B$132*-1)*3.14159265358979/180)*365.5)," ","USE EXBAR AR AT THE BACK")</f>
        <v xml:space="preserve"> </v>
      </c>
      <c r="E134" s="191"/>
      <c r="F134" s="191"/>
      <c r="G134" s="191"/>
      <c r="H134" s="192"/>
      <c r="I134" s="192"/>
      <c r="J134" s="192"/>
      <c r="K134" s="192"/>
      <c r="L134" s="192"/>
      <c r="M134" s="192"/>
      <c r="N134" s="192"/>
      <c r="O134" s="192"/>
      <c r="P134" s="192"/>
      <c r="Q134" s="192"/>
      <c r="R134" s="192"/>
      <c r="S134" s="192"/>
      <c r="T134" s="192"/>
      <c r="U134" s="192"/>
      <c r="V134" s="193"/>
      <c r="W134" s="193"/>
      <c r="X134" s="193"/>
      <c r="Y134" s="193"/>
      <c r="Z134" s="193"/>
      <c r="AA134" s="193"/>
      <c r="AB134" s="193"/>
      <c r="AC134" s="193"/>
      <c r="AD134" s="193"/>
      <c r="AE134" s="193"/>
      <c r="AF134" s="193"/>
      <c r="AG134" s="193"/>
      <c r="AH134" s="193"/>
      <c r="AI134" s="193"/>
      <c r="AJ134" s="193"/>
      <c r="AK134" s="193"/>
      <c r="AL134" s="193"/>
      <c r="AM134" s="193"/>
      <c r="AN134" s="193"/>
      <c r="AO134" s="193"/>
      <c r="AP134" s="192"/>
      <c r="AQ134" s="89"/>
      <c r="AR134" s="193"/>
      <c r="BB134" s="197"/>
      <c r="BC134" s="197"/>
      <c r="BD134" s="197"/>
      <c r="BE134" s="109"/>
      <c r="BF134" s="109"/>
      <c r="BG134" s="109"/>
      <c r="BH134" s="109"/>
      <c r="BI134" s="109"/>
      <c r="BJ134" s="109"/>
      <c r="BK134" s="186"/>
      <c r="BL134" s="186"/>
      <c r="BM134" s="186"/>
      <c r="BN134" s="186"/>
      <c r="BO134" s="186"/>
      <c r="BP134" s="186"/>
      <c r="BQ134" s="186"/>
      <c r="BR134" s="186"/>
      <c r="BS134" s="186"/>
      <c r="BT134" s="186"/>
      <c r="BU134" s="186"/>
      <c r="BV134" s="186"/>
      <c r="BW134" s="186"/>
      <c r="BX134" s="186"/>
    </row>
    <row r="135" spans="2:97" ht="57" thickBot="1" x14ac:dyDescent="0.35">
      <c r="B135" s="17">
        <v>1</v>
      </c>
      <c r="C135" s="199"/>
      <c r="D135" s="200" t="s">
        <v>214</v>
      </c>
      <c r="E135" s="201"/>
      <c r="F135" s="202"/>
      <c r="G135" s="202"/>
      <c r="H135" s="902" t="s">
        <v>227</v>
      </c>
      <c r="I135" s="902" t="s">
        <v>216</v>
      </c>
      <c r="J135" s="203"/>
      <c r="K135" s="203"/>
      <c r="L135" s="203"/>
      <c r="M135" s="203"/>
      <c r="N135" s="203"/>
      <c r="O135" s="203"/>
      <c r="P135" s="203"/>
      <c r="Q135" s="203"/>
      <c r="R135" s="203"/>
      <c r="S135" s="203"/>
      <c r="T135" s="203"/>
      <c r="U135" s="201"/>
      <c r="V135" s="201"/>
      <c r="W135" s="201"/>
      <c r="X135" s="201"/>
      <c r="Y135" s="201"/>
      <c r="Z135" s="201"/>
      <c r="AA135" s="201"/>
      <c r="AB135" s="201"/>
      <c r="AC135" s="201"/>
      <c r="AD135" s="201"/>
      <c r="AE135" s="201"/>
      <c r="AF135" s="201"/>
      <c r="AG135" s="201"/>
      <c r="AH135" s="201"/>
      <c r="AI135" s="201"/>
      <c r="AJ135" s="201"/>
      <c r="AK135" s="201"/>
      <c r="AL135" s="201"/>
      <c r="AM135" s="201"/>
      <c r="AN135" s="1111" t="s">
        <v>46</v>
      </c>
      <c r="AO135" s="1112"/>
      <c r="AP135" s="204"/>
      <c r="AQ135" s="205"/>
      <c r="BB135" s="197"/>
      <c r="BC135" s="197"/>
      <c r="BD135" s="197"/>
      <c r="BE135" s="109"/>
      <c r="BF135" s="109"/>
      <c r="BG135" s="109"/>
      <c r="BH135" s="109"/>
      <c r="BI135" s="109"/>
      <c r="BJ135" s="109"/>
      <c r="BK135" s="109"/>
      <c r="BL135" s="109"/>
      <c r="BM135" s="109"/>
      <c r="BN135" s="109"/>
      <c r="BO135" s="109"/>
      <c r="BP135" s="109"/>
      <c r="BQ135" s="109"/>
      <c r="BR135" s="109"/>
      <c r="BS135" s="109"/>
      <c r="BT135" s="109"/>
      <c r="BU135" s="109"/>
      <c r="BV135" s="109"/>
      <c r="BW135" s="109"/>
      <c r="BX135" s="109"/>
      <c r="BY135" s="109"/>
      <c r="BZ135" s="109"/>
      <c r="CA135" s="109"/>
      <c r="CB135" s="109"/>
      <c r="CC135" s="109"/>
      <c r="CD135" s="109"/>
      <c r="CE135" s="109"/>
      <c r="CF135" s="109"/>
      <c r="CG135" s="109"/>
      <c r="CH135" s="109"/>
      <c r="CI135" s="109"/>
      <c r="CJ135" s="109"/>
      <c r="CK135" s="109"/>
      <c r="CL135" s="109"/>
      <c r="CM135" s="109"/>
      <c r="CN135" s="109"/>
      <c r="CO135" s="109"/>
      <c r="CP135" s="109"/>
    </row>
    <row r="136" spans="2:97" ht="46" hidden="1" thickBot="1" x14ac:dyDescent="0.35">
      <c r="B136" s="206"/>
      <c r="C136" s="207"/>
      <c r="D136" s="208"/>
      <c r="F136" s="988" t="s">
        <v>248</v>
      </c>
      <c r="H136" s="903" t="s">
        <v>4</v>
      </c>
      <c r="I136" s="904" t="s">
        <v>1</v>
      </c>
      <c r="J136" s="209" t="s">
        <v>0</v>
      </c>
      <c r="K136" s="209" t="s">
        <v>2</v>
      </c>
      <c r="L136" s="209" t="s">
        <v>3</v>
      </c>
      <c r="M136" s="209" t="s">
        <v>8</v>
      </c>
      <c r="N136" s="209" t="s">
        <v>5</v>
      </c>
      <c r="O136" s="209" t="s">
        <v>6</v>
      </c>
      <c r="P136" s="209" t="s">
        <v>7</v>
      </c>
      <c r="Q136" s="209" t="s">
        <v>9</v>
      </c>
      <c r="R136" s="941" t="s">
        <v>10</v>
      </c>
      <c r="S136" s="209" t="s">
        <v>11</v>
      </c>
      <c r="T136" s="211" t="s">
        <v>12</v>
      </c>
      <c r="U136" s="212"/>
      <c r="V136" s="212"/>
      <c r="W136" s="213"/>
      <c r="X136" s="212"/>
      <c r="Y136" s="212"/>
      <c r="Z136" s="901" t="s">
        <v>217</v>
      </c>
      <c r="AA136" s="212"/>
      <c r="AB136" s="901" t="s">
        <v>225</v>
      </c>
      <c r="AC136" s="901" t="s">
        <v>219</v>
      </c>
      <c r="AD136" s="212"/>
      <c r="AE136" s="901" t="s">
        <v>226</v>
      </c>
      <c r="AF136" s="901" t="s">
        <v>224</v>
      </c>
      <c r="AG136" s="212"/>
      <c r="AH136" s="212"/>
      <c r="AI136" s="212"/>
      <c r="AJ136" s="212"/>
      <c r="AK136" s="212"/>
      <c r="AL136" s="213" t="s">
        <v>42</v>
      </c>
      <c r="AM136" s="213" t="s">
        <v>42</v>
      </c>
      <c r="AN136" s="214"/>
      <c r="AO136" s="215"/>
      <c r="AQ136" s="216"/>
      <c r="BB136" s="197"/>
      <c r="BC136" s="197"/>
      <c r="BD136" s="197"/>
      <c r="BX136" s="217"/>
      <c r="BY136" s="217"/>
      <c r="BZ136" s="217"/>
      <c r="CA136" s="217"/>
      <c r="CB136" s="217"/>
      <c r="CC136" s="217"/>
    </row>
    <row r="137" spans="2:97" ht="42.75" customHeight="1" thickBot="1" x14ac:dyDescent="0.35">
      <c r="B137" s="218"/>
      <c r="C137" s="219"/>
      <c r="D137" s="220" t="s">
        <v>20</v>
      </c>
      <c r="E137" s="201"/>
      <c r="F137" s="221"/>
      <c r="H137" s="222"/>
      <c r="I137" s="223"/>
      <c r="R137" s="109"/>
      <c r="T137" s="224"/>
      <c r="U137" s="212"/>
      <c r="V137" s="212"/>
      <c r="W137" s="212"/>
      <c r="X137" s="212" t="s">
        <v>36</v>
      </c>
      <c r="Y137" s="225" t="s">
        <v>29</v>
      </c>
      <c r="Z137" s="905" t="s">
        <v>218</v>
      </c>
      <c r="AA137" s="226" t="s">
        <v>30</v>
      </c>
      <c r="AB137" s="907" t="s">
        <v>31</v>
      </c>
      <c r="AC137" s="905" t="s">
        <v>220</v>
      </c>
      <c r="AD137" s="909" t="s">
        <v>32</v>
      </c>
      <c r="AE137" s="905" t="s">
        <v>33</v>
      </c>
      <c r="AF137" s="227" t="s">
        <v>34</v>
      </c>
      <c r="AG137" s="212" t="s">
        <v>35</v>
      </c>
      <c r="AH137" s="212" t="s">
        <v>37</v>
      </c>
      <c r="AI137" s="212" t="s">
        <v>38</v>
      </c>
      <c r="AJ137" s="228" t="s">
        <v>39</v>
      </c>
      <c r="AK137" s="228" t="s">
        <v>40</v>
      </c>
      <c r="AL137" s="229" t="s">
        <v>21</v>
      </c>
      <c r="AM137" s="229" t="s">
        <v>22</v>
      </c>
      <c r="AN137" s="230" t="s">
        <v>21</v>
      </c>
      <c r="AO137" s="230" t="s">
        <v>22</v>
      </c>
      <c r="AR137" s="231"/>
      <c r="BB137" s="197"/>
      <c r="BC137" s="197"/>
      <c r="BD137" s="197"/>
    </row>
    <row r="138" spans="2:97" ht="21" thickBot="1" x14ac:dyDescent="0.35">
      <c r="B138" s="232">
        <v>1</v>
      </c>
      <c r="C138" s="233">
        <f>+($B$132*-1)+D138</f>
        <v>0</v>
      </c>
      <c r="D138" s="16">
        <v>0</v>
      </c>
      <c r="E138" s="234" t="s">
        <v>106</v>
      </c>
      <c r="F138" s="235" t="str">
        <f>IF(AM138&lt;0,"use the locking pin"," ")</f>
        <v xml:space="preserve"> </v>
      </c>
      <c r="G138" s="235">
        <f>+D138</f>
        <v>0</v>
      </c>
      <c r="H138" s="888">
        <v>251.073172</v>
      </c>
      <c r="I138" s="889">
        <v>65.636175100000003</v>
      </c>
      <c r="J138" s="125">
        <f>+I138-C138</f>
        <v>65.636175100000003</v>
      </c>
      <c r="K138" s="125">
        <f t="shared" ref="K138:K163" si="6">+J138/2</f>
        <v>32.818087550000001</v>
      </c>
      <c r="L138" s="125">
        <f t="shared" ref="L138:L163" si="7">SIN(K138*3.14159265358979/180)</f>
        <v>0.54197353948789428</v>
      </c>
      <c r="M138" s="125">
        <f t="shared" ref="M138:M163" si="8">+L138*H138</f>
        <v>136.07501569929286</v>
      </c>
      <c r="N138" s="125">
        <f t="shared" ref="N138:N163" si="9">+M138*2</f>
        <v>272.15003139858572</v>
      </c>
      <c r="O138" s="125">
        <f>+C138/2</f>
        <v>0</v>
      </c>
      <c r="P138" s="125">
        <f t="shared" ref="P138:P163" si="10">SIN(O138*3.14159265358979/180)</f>
        <v>0</v>
      </c>
      <c r="Q138" s="125">
        <f t="shared" ref="Q138:Q163" si="11">+P138*N138</f>
        <v>0</v>
      </c>
      <c r="R138" s="125">
        <v>211.0008</v>
      </c>
      <c r="S138" s="914">
        <f>+R138+Q138</f>
        <v>211.0008</v>
      </c>
      <c r="T138" s="125">
        <f t="shared" ref="T138:T163" si="12">+S138</f>
        <v>211.0008</v>
      </c>
      <c r="U138" s="236"/>
      <c r="V138" s="66">
        <f t="shared" ref="V138:V163" si="13">IF(B138&lt;($B$135+1),T138,0)</f>
        <v>211.0008</v>
      </c>
      <c r="W138" s="915"/>
      <c r="X138" s="235">
        <f>SUM(V138:V163)/($B$135)</f>
        <v>211.0008</v>
      </c>
      <c r="Y138" s="942">
        <f>+C138</f>
        <v>0</v>
      </c>
      <c r="Z138" s="897">
        <f>75.4990086-Y138</f>
        <v>75.499008599999996</v>
      </c>
      <c r="AA138" s="906">
        <f t="shared" ref="AA138:AA163" si="14">SIN(Z138*3.14159265358979/180)</f>
        <v>0.96814330785934066</v>
      </c>
      <c r="AB138" s="899">
        <f>+AA138*290.642868</f>
        <v>281.38394763124575</v>
      </c>
      <c r="AC138" s="908">
        <f>57.1819124+Y138</f>
        <v>57.181912400000002</v>
      </c>
      <c r="AD138" s="906">
        <f>SIN(AC138*3.14159265358979/180)</f>
        <v>0.84039555073787342</v>
      </c>
      <c r="AE138" s="910">
        <f>+AD138*251.073172</f>
        <v>211.00077665844481</v>
      </c>
      <c r="AF138" s="906">
        <f>C16*B135</f>
        <v>29.3</v>
      </c>
      <c r="AG138" s="237">
        <f>+AE138+AB138</f>
        <v>492.38472428969055</v>
      </c>
      <c r="AH138" s="238">
        <f>+V138-AE138</f>
        <v>2.3341555191791485E-5</v>
      </c>
      <c r="AI138" s="238">
        <f>+X138-AH138</f>
        <v>211.00077665844481</v>
      </c>
      <c r="AJ138" s="238">
        <f>+((AG138-AI138)/AG138)*AF138</f>
        <v>16.744121535226355</v>
      </c>
      <c r="AK138" s="239">
        <f>+(AI138/AG138)*AF138</f>
        <v>12.555878464773642</v>
      </c>
      <c r="AL138" s="239">
        <f t="shared" ref="AL138:AL163" si="15">2*$C$7/AJ138</f>
        <v>692.78044689271212</v>
      </c>
      <c r="AM138" s="240">
        <f t="shared" ref="AM138:AM163" si="16">$D$7/AK138</f>
        <v>796.43969381000863</v>
      </c>
      <c r="AN138" s="241">
        <f>ABS(AL138)</f>
        <v>692.78044689271212</v>
      </c>
      <c r="AO138" s="242">
        <f>ABS(AM138)</f>
        <v>796.43969381000863</v>
      </c>
      <c r="AP138" s="242"/>
      <c r="AR138" s="243"/>
      <c r="BB138" s="197"/>
      <c r="BC138" s="197"/>
      <c r="BD138" s="197"/>
    </row>
    <row r="139" spans="2:97" ht="20" thickBot="1" x14ac:dyDescent="0.35">
      <c r="B139" s="244">
        <v>2</v>
      </c>
      <c r="C139" s="245"/>
      <c r="D139" s="16">
        <v>1</v>
      </c>
      <c r="E139" s="234" t="s">
        <v>215</v>
      </c>
      <c r="F139" s="247" t="e">
        <f t="shared" ref="F139:F163" si="17">IF(AM139&lt;0,"use the locking pin"," ")</f>
        <v>#DIV/0!</v>
      </c>
      <c r="G139" s="248">
        <f t="shared" ref="G139:G163" si="18">+D139+AP139</f>
        <v>1</v>
      </c>
      <c r="H139" s="888">
        <v>251.073172</v>
      </c>
      <c r="I139" s="889">
        <v>65.636175100000003</v>
      </c>
      <c r="J139" s="74">
        <f t="shared" ref="J139:J163" si="19">+I139-D139</f>
        <v>64.636175100000003</v>
      </c>
      <c r="K139" s="74">
        <f t="shared" si="6"/>
        <v>32.318087550000001</v>
      </c>
      <c r="L139" s="74">
        <f>SIN(K139*3.14159265358979/180)</f>
        <v>0.53461916118589337</v>
      </c>
      <c r="M139" s="74">
        <f t="shared" si="8"/>
        <v>134.22852861092153</v>
      </c>
      <c r="N139" s="74">
        <f t="shared" si="9"/>
        <v>268.45705722184306</v>
      </c>
      <c r="O139" s="74">
        <f>+C138+(D139/2)</f>
        <v>0.5</v>
      </c>
      <c r="P139" s="74">
        <f t="shared" si="10"/>
        <v>8.726535498373926E-3</v>
      </c>
      <c r="Q139" s="74">
        <f t="shared" si="11"/>
        <v>2.3427000396354138</v>
      </c>
      <c r="R139" s="74">
        <f t="shared" ref="R139:R163" si="20">+T138</f>
        <v>211.0008</v>
      </c>
      <c r="S139" s="74">
        <f>+R139+Q139</f>
        <v>213.34350003963542</v>
      </c>
      <c r="T139" s="74">
        <f t="shared" si="12"/>
        <v>213.34350003963542</v>
      </c>
      <c r="U139" s="249"/>
      <c r="V139">
        <f t="shared" si="13"/>
        <v>0</v>
      </c>
      <c r="W139" s="916"/>
      <c r="X139" s="235" t="e">
        <f>SUM(V139:V163)/($B$135-B138)</f>
        <v>#DIV/0!</v>
      </c>
      <c r="Y139" s="943">
        <f>SUM(D139)+$C$138</f>
        <v>1</v>
      </c>
      <c r="Z139" s="898">
        <f t="shared" ref="Z139:Z163" si="21">75.4990086-Y139</f>
        <v>74.499008599999996</v>
      </c>
      <c r="AA139" s="906">
        <f t="shared" si="14"/>
        <v>0.96362582898684701</v>
      </c>
      <c r="AB139" s="289">
        <f t="shared" ref="AB139:AB163" si="22">+AA139*290.642868</f>
        <v>280.07097461561477</v>
      </c>
      <c r="AC139" s="908">
        <f t="shared" ref="AC139:AC163" si="23">57.1819124+Y139</f>
        <v>58.181912400000002</v>
      </c>
      <c r="AD139" s="906">
        <f t="shared" ref="AD139:AD163" si="24">SIN(AC139*3.14159265358979/180)</f>
        <v>0.84972629692714396</v>
      </c>
      <c r="AE139" s="911">
        <f t="shared" ref="AE139:AE163" si="25">+AD139*251.073172</f>
        <v>213.34347670131189</v>
      </c>
      <c r="AF139" s="906">
        <f>$C$16*($B$135-B138)</f>
        <v>0</v>
      </c>
      <c r="AG139" s="944">
        <f t="shared" ref="AG139:AG163" si="26">+AE139+AB139</f>
        <v>493.41445131692666</v>
      </c>
      <c r="AH139" s="254">
        <f>+V139-AE139</f>
        <v>-213.34347670131189</v>
      </c>
      <c r="AI139" s="254" t="e">
        <f>+X139-AH139</f>
        <v>#DIV/0!</v>
      </c>
      <c r="AJ139" s="254" t="e">
        <f t="shared" ref="AJ139:AJ163" si="27">+((AG139-AI139)/AG139)*AF139</f>
        <v>#DIV/0!</v>
      </c>
      <c r="AK139" s="255" t="e">
        <f t="shared" ref="AK139:AK163" si="28">+(AI139/AG139)*AF139</f>
        <v>#DIV/0!</v>
      </c>
      <c r="AL139" s="255" t="e">
        <f t="shared" si="15"/>
        <v>#DIV/0!</v>
      </c>
      <c r="AM139" s="240" t="e">
        <f t="shared" si="16"/>
        <v>#DIV/0!</v>
      </c>
      <c r="AN139" s="241" t="e">
        <f t="shared" ref="AN139:AO158" si="29">ABS(AL139)</f>
        <v>#DIV/0!</v>
      </c>
      <c r="AO139" s="256" t="e">
        <f t="shared" si="29"/>
        <v>#DIV/0!</v>
      </c>
      <c r="AP139" s="242"/>
      <c r="BB139" s="197"/>
      <c r="BC139" s="197"/>
      <c r="BD139" s="197"/>
    </row>
    <row r="140" spans="2:97" ht="20" thickBot="1" x14ac:dyDescent="0.35">
      <c r="B140" s="244">
        <v>3</v>
      </c>
      <c r="C140" s="245"/>
      <c r="D140" s="16">
        <v>1</v>
      </c>
      <c r="E140" s="234" t="s">
        <v>215</v>
      </c>
      <c r="F140" s="257" t="str">
        <f t="shared" si="17"/>
        <v>use the locking pin</v>
      </c>
      <c r="G140" s="248">
        <f t="shared" si="18"/>
        <v>1</v>
      </c>
      <c r="H140" s="888">
        <v>251.073172</v>
      </c>
      <c r="I140" s="889">
        <v>65.636175100000003</v>
      </c>
      <c r="J140" s="74">
        <f t="shared" si="19"/>
        <v>64.636175100000003</v>
      </c>
      <c r="K140" s="74">
        <f t="shared" si="6"/>
        <v>32.318087550000001</v>
      </c>
      <c r="L140" s="74">
        <f t="shared" si="7"/>
        <v>0.53461916118589337</v>
      </c>
      <c r="M140" s="74">
        <f t="shared" si="8"/>
        <v>134.22852861092153</v>
      </c>
      <c r="N140" s="74">
        <f t="shared" si="9"/>
        <v>268.45705722184306</v>
      </c>
      <c r="O140" s="74">
        <f>+C138+D139+(D140/2)</f>
        <v>1.5</v>
      </c>
      <c r="P140" s="74">
        <f t="shared" si="10"/>
        <v>2.6176948307873125E-2</v>
      </c>
      <c r="Q140" s="74">
        <f t="shared" si="11"/>
        <v>7.0273865097799231</v>
      </c>
      <c r="R140" s="74">
        <f t="shared" si="20"/>
        <v>213.34350003963542</v>
      </c>
      <c r="S140" s="74">
        <f t="shared" ref="S140:S163" si="30">+S139+Q140</f>
        <v>220.37088654941533</v>
      </c>
      <c r="T140" s="74">
        <f t="shared" si="12"/>
        <v>220.37088654941533</v>
      </c>
      <c r="U140" s="249"/>
      <c r="V140">
        <f t="shared" si="13"/>
        <v>0</v>
      </c>
      <c r="W140" s="916"/>
      <c r="X140" s="235">
        <f>SUM(V140:V163)/($B$135-B139)</f>
        <v>0</v>
      </c>
      <c r="Y140" s="943">
        <f>SUM(D139:D140)+$C$138</f>
        <v>2</v>
      </c>
      <c r="Z140" s="898">
        <f t="shared" si="21"/>
        <v>73.499008599999996</v>
      </c>
      <c r="AA140" s="906">
        <f t="shared" si="14"/>
        <v>0.95881482035199095</v>
      </c>
      <c r="AB140" s="289">
        <f t="shared" si="22"/>
        <v>278.67268926800745</v>
      </c>
      <c r="AC140" s="908">
        <f t="shared" si="23"/>
        <v>59.181912400000002</v>
      </c>
      <c r="AD140" s="906">
        <f t="shared" si="24"/>
        <v>0.85879820825488717</v>
      </c>
      <c r="AE140" s="911">
        <f t="shared" si="25"/>
        <v>215.62119025447112</v>
      </c>
      <c r="AF140" s="906">
        <f t="shared" ref="AF140:AF163" si="31">$C$16*($B$135-B139)</f>
        <v>-29.3</v>
      </c>
      <c r="AG140" s="944">
        <f t="shared" si="26"/>
        <v>494.29387952247856</v>
      </c>
      <c r="AH140" s="254">
        <f>+V140-AE140</f>
        <v>-215.62119025447112</v>
      </c>
      <c r="AI140" s="254">
        <f>+X140-AH140</f>
        <v>215.62119025447112</v>
      </c>
      <c r="AJ140" s="254">
        <f t="shared" si="27"/>
        <v>-16.518735379529016</v>
      </c>
      <c r="AK140" s="255">
        <f t="shared" si="28"/>
        <v>-12.781264620470987</v>
      </c>
      <c r="AL140" s="255">
        <f t="shared" si="15"/>
        <v>-702.23293330162551</v>
      </c>
      <c r="AM140" s="240">
        <f t="shared" si="16"/>
        <v>-782.39519303775296</v>
      </c>
      <c r="AN140" s="241">
        <f t="shared" si="29"/>
        <v>702.23293330162551</v>
      </c>
      <c r="AO140" s="242">
        <f t="shared" si="29"/>
        <v>782.39519303775296</v>
      </c>
      <c r="AP140" s="242"/>
      <c r="BB140" s="197"/>
      <c r="BC140" s="197"/>
      <c r="BD140" s="197"/>
    </row>
    <row r="141" spans="2:97" ht="20" thickBot="1" x14ac:dyDescent="0.35">
      <c r="B141" s="244">
        <v>4</v>
      </c>
      <c r="C141" s="245"/>
      <c r="D141" s="16">
        <v>1</v>
      </c>
      <c r="E141" s="234" t="s">
        <v>215</v>
      </c>
      <c r="F141" s="257" t="str">
        <f t="shared" si="17"/>
        <v>use the locking pin</v>
      </c>
      <c r="G141" s="248">
        <f t="shared" si="18"/>
        <v>1</v>
      </c>
      <c r="H141" s="888">
        <v>251.073172</v>
      </c>
      <c r="I141" s="889">
        <v>65.636175100000003</v>
      </c>
      <c r="J141" s="74">
        <f t="shared" si="19"/>
        <v>64.636175100000003</v>
      </c>
      <c r="K141" s="74">
        <f t="shared" si="6"/>
        <v>32.318087550000001</v>
      </c>
      <c r="L141" s="74">
        <f t="shared" si="7"/>
        <v>0.53461916118589337</v>
      </c>
      <c r="M141" s="74">
        <f t="shared" si="8"/>
        <v>134.22852861092153</v>
      </c>
      <c r="N141" s="74">
        <f t="shared" si="9"/>
        <v>268.45705722184306</v>
      </c>
      <c r="O141" s="74">
        <f>+C138+D139+D140+(D141/2)</f>
        <v>2.5</v>
      </c>
      <c r="P141" s="74">
        <f t="shared" si="10"/>
        <v>4.3619387365335958E-2</v>
      </c>
      <c r="Q141" s="74">
        <f t="shared" si="11"/>
        <v>11.709932369917734</v>
      </c>
      <c r="R141" s="74">
        <f t="shared" si="20"/>
        <v>220.37088654941533</v>
      </c>
      <c r="S141" s="74">
        <f t="shared" si="30"/>
        <v>232.08081891933307</v>
      </c>
      <c r="T141" s="74">
        <f t="shared" si="12"/>
        <v>232.08081891933307</v>
      </c>
      <c r="U141" s="249"/>
      <c r="V141">
        <f t="shared" si="13"/>
        <v>0</v>
      </c>
      <c r="W141" s="916"/>
      <c r="X141" s="235">
        <f>SUM(V141:V163)/($B$135-B140)</f>
        <v>0</v>
      </c>
      <c r="Y141" s="943">
        <f>SUM(D139:D141)+$C$138</f>
        <v>3</v>
      </c>
      <c r="Z141" s="898">
        <f t="shared" si="21"/>
        <v>72.499008599999996</v>
      </c>
      <c r="AA141" s="906">
        <f t="shared" si="14"/>
        <v>0.95371174743460796</v>
      </c>
      <c r="AB141" s="289">
        <f t="shared" si="22"/>
        <v>277.18951751968609</v>
      </c>
      <c r="AC141" s="908">
        <f t="shared" si="23"/>
        <v>60.181912400000002</v>
      </c>
      <c r="AD141" s="906">
        <f t="shared" si="24"/>
        <v>0.86760852132903066</v>
      </c>
      <c r="AE141" s="911">
        <f t="shared" si="25"/>
        <v>217.83322350430939</v>
      </c>
      <c r="AF141" s="906">
        <f t="shared" si="31"/>
        <v>-58.6</v>
      </c>
      <c r="AG141" s="944">
        <f t="shared" si="26"/>
        <v>495.02274102399548</v>
      </c>
      <c r="AH141" s="254">
        <f>+V141-AE141</f>
        <v>-217.83322350430939</v>
      </c>
      <c r="AI141" s="254">
        <f t="shared" ref="AI141:AI163" si="32">+X141-AH141</f>
        <v>217.83322350430939</v>
      </c>
      <c r="AJ141" s="254">
        <f t="shared" si="27"/>
        <v>-32.813251554975004</v>
      </c>
      <c r="AK141" s="255">
        <f t="shared" si="28"/>
        <v>-25.786748445025005</v>
      </c>
      <c r="AL141" s="255">
        <f t="shared" si="15"/>
        <v>-353.51571241166005</v>
      </c>
      <c r="AM141" s="240">
        <f t="shared" si="16"/>
        <v>-387.79608143768445</v>
      </c>
      <c r="AN141" s="241">
        <f t="shared" si="29"/>
        <v>353.51571241166005</v>
      </c>
      <c r="AO141" s="242">
        <f t="shared" si="29"/>
        <v>387.79608143768445</v>
      </c>
      <c r="AP141" s="242"/>
      <c r="BB141" s="197"/>
      <c r="BC141" s="197"/>
      <c r="BD141" s="197"/>
    </row>
    <row r="142" spans="2:97" ht="20" thickBot="1" x14ac:dyDescent="0.35">
      <c r="B142" s="244">
        <v>5</v>
      </c>
      <c r="C142" s="245"/>
      <c r="D142" s="16">
        <v>1</v>
      </c>
      <c r="E142" s="234" t="s">
        <v>215</v>
      </c>
      <c r="F142" s="257" t="str">
        <f t="shared" si="17"/>
        <v>use the locking pin</v>
      </c>
      <c r="G142" s="248">
        <f t="shared" si="18"/>
        <v>1</v>
      </c>
      <c r="H142" s="888">
        <v>251.073172</v>
      </c>
      <c r="I142" s="889">
        <v>65.636175100000003</v>
      </c>
      <c r="J142" s="74">
        <f t="shared" si="19"/>
        <v>64.636175100000003</v>
      </c>
      <c r="K142" s="74">
        <f t="shared" si="6"/>
        <v>32.318087550000001</v>
      </c>
      <c r="L142" s="74">
        <f t="shared" si="7"/>
        <v>0.53461916118589337</v>
      </c>
      <c r="M142" s="74">
        <f t="shared" si="8"/>
        <v>134.22852861092153</v>
      </c>
      <c r="N142" s="74">
        <f t="shared" si="9"/>
        <v>268.45705722184306</v>
      </c>
      <c r="O142" s="74">
        <f>+C138+D139+D140+D141+(D142/2)</f>
        <v>3.5</v>
      </c>
      <c r="P142" s="74">
        <f t="shared" si="10"/>
        <v>6.1048539534856811E-2</v>
      </c>
      <c r="Q142" s="74">
        <f t="shared" si="11"/>
        <v>16.388911271219001</v>
      </c>
      <c r="R142" s="74">
        <f t="shared" si="20"/>
        <v>232.08081891933307</v>
      </c>
      <c r="S142" s="74">
        <f t="shared" si="30"/>
        <v>248.46973019055207</v>
      </c>
      <c r="T142" s="74">
        <f t="shared" si="12"/>
        <v>248.46973019055207</v>
      </c>
      <c r="U142" s="249"/>
      <c r="V142">
        <f t="shared" si="13"/>
        <v>0</v>
      </c>
      <c r="W142" s="916"/>
      <c r="X142" s="235">
        <f>SUM(V142:V163)/($B$135-B141)</f>
        <v>0</v>
      </c>
      <c r="Y142" s="943">
        <f>SUM(D139:D142)+$C$138</f>
        <v>4</v>
      </c>
      <c r="Z142" s="898">
        <f t="shared" si="21"/>
        <v>71.499008599999996</v>
      </c>
      <c r="AA142" s="906">
        <f t="shared" si="14"/>
        <v>0.94831816468014318</v>
      </c>
      <c r="AB142" s="289">
        <f t="shared" si="22"/>
        <v>275.62191115913316</v>
      </c>
      <c r="AC142" s="908">
        <f t="shared" si="23"/>
        <v>61.181912400000002</v>
      </c>
      <c r="AD142" s="906">
        <f t="shared" si="24"/>
        <v>0.87615455244286489</v>
      </c>
      <c r="AE142" s="911">
        <f t="shared" si="25"/>
        <v>219.97890264407044</v>
      </c>
      <c r="AF142" s="906">
        <f t="shared" si="31"/>
        <v>-87.9</v>
      </c>
      <c r="AG142" s="944">
        <f t="shared" si="26"/>
        <v>495.60081380320361</v>
      </c>
      <c r="AH142" s="254">
        <f t="shared" ref="AH142:AH163" si="33">+V142-AE142</f>
        <v>-219.97890264407044</v>
      </c>
      <c r="AI142" s="254">
        <f t="shared" si="32"/>
        <v>219.97890264407044</v>
      </c>
      <c r="AJ142" s="254">
        <f t="shared" si="27"/>
        <v>-48.884435449107407</v>
      </c>
      <c r="AK142" s="255">
        <f t="shared" si="28"/>
        <v>-39.015564550892599</v>
      </c>
      <c r="AL142" s="255">
        <f t="shared" si="15"/>
        <v>-237.29434314683914</v>
      </c>
      <c r="AM142" s="240">
        <f t="shared" si="16"/>
        <v>-256.30796619528144</v>
      </c>
      <c r="AN142" s="241">
        <f t="shared" si="29"/>
        <v>237.29434314683914</v>
      </c>
      <c r="AO142" s="242">
        <f t="shared" si="29"/>
        <v>256.30796619528144</v>
      </c>
      <c r="AP142" s="242"/>
      <c r="AR142" s="114"/>
      <c r="BB142" s="197"/>
      <c r="BC142" s="197"/>
      <c r="BD142" s="197"/>
    </row>
    <row r="143" spans="2:97" ht="20" thickBot="1" x14ac:dyDescent="0.35">
      <c r="B143" s="244">
        <v>6</v>
      </c>
      <c r="C143" s="245"/>
      <c r="D143" s="16">
        <v>1</v>
      </c>
      <c r="E143" s="234" t="s">
        <v>215</v>
      </c>
      <c r="F143" s="257" t="str">
        <f t="shared" si="17"/>
        <v>use the locking pin</v>
      </c>
      <c r="G143" s="248">
        <f t="shared" si="18"/>
        <v>1</v>
      </c>
      <c r="H143" s="888">
        <v>251.073172</v>
      </c>
      <c r="I143" s="889">
        <v>65.636175100000003</v>
      </c>
      <c r="J143" s="74">
        <f t="shared" si="19"/>
        <v>64.636175100000003</v>
      </c>
      <c r="K143" s="74">
        <f t="shared" si="6"/>
        <v>32.318087550000001</v>
      </c>
      <c r="L143" s="74">
        <f t="shared" si="7"/>
        <v>0.53461916118589337</v>
      </c>
      <c r="M143" s="74">
        <f t="shared" si="8"/>
        <v>134.22852861092153</v>
      </c>
      <c r="N143" s="74">
        <f t="shared" si="9"/>
        <v>268.45705722184306</v>
      </c>
      <c r="O143" s="74">
        <f>+C138+D139+D140+D141+D142+(D143/2)</f>
        <v>4.5</v>
      </c>
      <c r="P143" s="74">
        <f t="shared" si="10"/>
        <v>7.845909572784486E-2</v>
      </c>
      <c r="Q143" s="74">
        <f t="shared" si="11"/>
        <v>21.062897951384109</v>
      </c>
      <c r="R143" s="74">
        <f t="shared" si="20"/>
        <v>248.46973019055207</v>
      </c>
      <c r="S143" s="74">
        <f t="shared" si="30"/>
        <v>269.53262814193619</v>
      </c>
      <c r="T143" s="74">
        <f t="shared" si="12"/>
        <v>269.53262814193619</v>
      </c>
      <c r="U143" s="249"/>
      <c r="V143">
        <f t="shared" si="13"/>
        <v>0</v>
      </c>
      <c r="W143" s="916"/>
      <c r="X143" s="235">
        <f>SUM(V143:V163)/($B$135-B142)</f>
        <v>0</v>
      </c>
      <c r="Y143" s="943">
        <f>SUM(D139:D143)+$C$138</f>
        <v>5</v>
      </c>
      <c r="Z143" s="898">
        <f t="shared" si="21"/>
        <v>70.499008599999996</v>
      </c>
      <c r="AA143" s="906">
        <f t="shared" si="14"/>
        <v>0.94263571502615251</v>
      </c>
      <c r="AB143" s="289">
        <f t="shared" si="22"/>
        <v>273.97034769443167</v>
      </c>
      <c r="AC143" s="908">
        <f t="shared" si="23"/>
        <v>62.181912400000002</v>
      </c>
      <c r="AD143" s="906">
        <f t="shared" si="24"/>
        <v>0.88443369839252528</v>
      </c>
      <c r="AE143" s="911">
        <f t="shared" si="25"/>
        <v>222.05757407910264</v>
      </c>
      <c r="AF143" s="906">
        <f t="shared" si="31"/>
        <v>-117.2</v>
      </c>
      <c r="AG143" s="944">
        <f t="shared" si="26"/>
        <v>496.02792177353433</v>
      </c>
      <c r="AH143" s="254">
        <f t="shared" si="33"/>
        <v>-222.05757407910264</v>
      </c>
      <c r="AI143" s="254">
        <f t="shared" si="32"/>
        <v>222.05757407910264</v>
      </c>
      <c r="AJ143" s="254">
        <f t="shared" si="27"/>
        <v>-64.732897767088147</v>
      </c>
      <c r="AK143" s="255">
        <f t="shared" si="28"/>
        <v>-52.467102232911849</v>
      </c>
      <c r="AL143" s="255">
        <f t="shared" si="15"/>
        <v>-179.19791018374178</v>
      </c>
      <c r="AM143" s="240">
        <f t="shared" si="16"/>
        <v>-190.59562229314707</v>
      </c>
      <c r="AN143" s="241">
        <f t="shared" si="29"/>
        <v>179.19791018374178</v>
      </c>
      <c r="AO143" s="242">
        <f t="shared" si="29"/>
        <v>190.59562229314707</v>
      </c>
      <c r="AP143" s="242"/>
      <c r="BB143" s="197"/>
      <c r="BC143" s="197"/>
      <c r="BD143" s="197"/>
    </row>
    <row r="144" spans="2:97" ht="20" thickBot="1" x14ac:dyDescent="0.35">
      <c r="B144" s="244">
        <v>7</v>
      </c>
      <c r="C144" s="245"/>
      <c r="D144" s="16">
        <v>1</v>
      </c>
      <c r="E144" s="234" t="s">
        <v>215</v>
      </c>
      <c r="F144" s="257" t="str">
        <f t="shared" si="17"/>
        <v>use the locking pin</v>
      </c>
      <c r="G144" s="248">
        <f t="shared" si="18"/>
        <v>1</v>
      </c>
      <c r="H144" s="888">
        <v>251.073172</v>
      </c>
      <c r="I144" s="889">
        <v>65.636175100000003</v>
      </c>
      <c r="J144" s="74">
        <f t="shared" si="19"/>
        <v>64.636175100000003</v>
      </c>
      <c r="K144" s="74">
        <f t="shared" si="6"/>
        <v>32.318087550000001</v>
      </c>
      <c r="L144" s="74">
        <f t="shared" si="7"/>
        <v>0.53461916118589337</v>
      </c>
      <c r="M144" s="74">
        <f t="shared" si="8"/>
        <v>134.22852861092153</v>
      </c>
      <c r="N144" s="74">
        <f t="shared" si="9"/>
        <v>268.45705722184306</v>
      </c>
      <c r="O144" s="74">
        <f>+C138+D139+D140+D141+D142+D143+(D144/2)</f>
        <v>5.5</v>
      </c>
      <c r="P144" s="74">
        <f t="shared" si="10"/>
        <v>9.5845752520223898E-2</v>
      </c>
      <c r="Q144" s="74">
        <f t="shared" si="11"/>
        <v>25.730468668792355</v>
      </c>
      <c r="R144" s="74">
        <f t="shared" si="20"/>
        <v>269.53262814193619</v>
      </c>
      <c r="S144" s="74">
        <f t="shared" si="30"/>
        <v>295.26309681072854</v>
      </c>
      <c r="T144" s="74">
        <f t="shared" si="12"/>
        <v>295.26309681072854</v>
      </c>
      <c r="U144" s="249"/>
      <c r="V144">
        <f t="shared" si="13"/>
        <v>0</v>
      </c>
      <c r="W144" s="916"/>
      <c r="X144" s="235">
        <f t="shared" ref="X144" si="34">SUM(V144:V163)/($B$135-B143)</f>
        <v>0</v>
      </c>
      <c r="Y144" s="943">
        <f>SUM(D139:D144)+$C$138</f>
        <v>6</v>
      </c>
      <c r="Z144" s="898">
        <f t="shared" si="21"/>
        <v>69.499008599999996</v>
      </c>
      <c r="AA144" s="906">
        <f t="shared" si="14"/>
        <v>0.93666612940184768</v>
      </c>
      <c r="AB144" s="289">
        <f t="shared" si="22"/>
        <v>272.23533020781213</v>
      </c>
      <c r="AC144" s="908">
        <f t="shared" si="23"/>
        <v>63.181912400000002</v>
      </c>
      <c r="AD144" s="906">
        <f t="shared" si="24"/>
        <v>0.8924434372699539</v>
      </c>
      <c r="AE144" s="911">
        <f t="shared" si="25"/>
        <v>224.06860462595034</v>
      </c>
      <c r="AF144" s="906">
        <f t="shared" si="31"/>
        <v>-146.5</v>
      </c>
      <c r="AG144" s="944">
        <f t="shared" si="26"/>
        <v>496.30393483376247</v>
      </c>
      <c r="AH144" s="254">
        <f t="shared" si="33"/>
        <v>-224.06860462595034</v>
      </c>
      <c r="AI144" s="254">
        <f t="shared" si="32"/>
        <v>224.06860462595034</v>
      </c>
      <c r="AJ144" s="254">
        <f t="shared" si="27"/>
        <v>-80.358975773188575</v>
      </c>
      <c r="AK144" s="255">
        <f t="shared" si="28"/>
        <v>-66.141024226811439</v>
      </c>
      <c r="AL144" s="255">
        <f t="shared" si="15"/>
        <v>-144.35226293501728</v>
      </c>
      <c r="AM144" s="240">
        <f t="shared" si="16"/>
        <v>-151.19209472335814</v>
      </c>
      <c r="AN144" s="241">
        <f t="shared" si="29"/>
        <v>144.35226293501728</v>
      </c>
      <c r="AO144" s="242">
        <f t="shared" si="29"/>
        <v>151.19209472335814</v>
      </c>
      <c r="AP144" s="242"/>
      <c r="BB144" s="197"/>
      <c r="BC144" s="197"/>
      <c r="BD144" s="197"/>
    </row>
    <row r="145" spans="1:56" ht="20" thickBot="1" x14ac:dyDescent="0.35">
      <c r="B145" s="244">
        <v>8</v>
      </c>
      <c r="C145" s="245"/>
      <c r="D145" s="16">
        <v>1</v>
      </c>
      <c r="E145" s="234" t="s">
        <v>215</v>
      </c>
      <c r="F145" s="257" t="str">
        <f t="shared" si="17"/>
        <v>use the locking pin</v>
      </c>
      <c r="G145" s="248">
        <f t="shared" si="18"/>
        <v>1</v>
      </c>
      <c r="H145" s="888">
        <v>251.073172</v>
      </c>
      <c r="I145" s="889">
        <v>65.636175100000003</v>
      </c>
      <c r="J145" s="74">
        <f t="shared" si="19"/>
        <v>64.636175100000003</v>
      </c>
      <c r="K145" s="74">
        <f t="shared" si="6"/>
        <v>32.318087550000001</v>
      </c>
      <c r="L145" s="74">
        <f t="shared" si="7"/>
        <v>0.53461916118589337</v>
      </c>
      <c r="M145" s="74">
        <f t="shared" si="8"/>
        <v>134.22852861092153</v>
      </c>
      <c r="N145" s="74">
        <f t="shared" si="9"/>
        <v>268.45705722184306</v>
      </c>
      <c r="O145" s="74">
        <f>+C138+D139+D140+D141+D142+D143+D144+(D145/2)</f>
        <v>6.5</v>
      </c>
      <c r="P145" s="74">
        <f t="shared" si="10"/>
        <v>0.11320321376790661</v>
      </c>
      <c r="Q145" s="74">
        <f t="shared" si="11"/>
        <v>30.390201636187438</v>
      </c>
      <c r="R145" s="74">
        <f t="shared" si="20"/>
        <v>295.26309681072854</v>
      </c>
      <c r="S145" s="74">
        <f t="shared" si="30"/>
        <v>325.65329844691598</v>
      </c>
      <c r="T145" s="74">
        <f t="shared" si="12"/>
        <v>325.65329844691598</v>
      </c>
      <c r="U145" s="249"/>
      <c r="V145">
        <f t="shared" si="13"/>
        <v>0</v>
      </c>
      <c r="W145" s="916"/>
      <c r="X145" s="235">
        <f>SUM(V145:V163)/($B$135-B144)</f>
        <v>0</v>
      </c>
      <c r="Y145" s="943">
        <f>SUM(D139:D145)+$C$138</f>
        <v>7</v>
      </c>
      <c r="Z145" s="898">
        <f t="shared" si="21"/>
        <v>68.499008599999996</v>
      </c>
      <c r="AA145" s="906">
        <f t="shared" si="14"/>
        <v>0.93041122620083849</v>
      </c>
      <c r="AB145" s="289">
        <f t="shared" si="22"/>
        <v>270.41738720240846</v>
      </c>
      <c r="AC145" s="908">
        <f t="shared" si="23"/>
        <v>64.181912400000002</v>
      </c>
      <c r="AD145" s="906">
        <f t="shared" si="24"/>
        <v>0.90018132923109617</v>
      </c>
      <c r="AE145" s="911">
        <f t="shared" si="25"/>
        <v>226.01138170522765</v>
      </c>
      <c r="AF145" s="906">
        <f t="shared" si="31"/>
        <v>-175.8</v>
      </c>
      <c r="AG145" s="944">
        <f t="shared" si="26"/>
        <v>496.42876890763614</v>
      </c>
      <c r="AH145" s="254">
        <f t="shared" si="33"/>
        <v>-226.01138170522765</v>
      </c>
      <c r="AI145" s="254">
        <f t="shared" si="32"/>
        <v>226.01138170522765</v>
      </c>
      <c r="AJ145" s="254">
        <f t="shared" si="27"/>
        <v>-95.762735054197535</v>
      </c>
      <c r="AK145" s="255">
        <f t="shared" si="28"/>
        <v>-80.037264945802463</v>
      </c>
      <c r="AL145" s="255">
        <f t="shared" si="15"/>
        <v>-121.13271402946987</v>
      </c>
      <c r="AM145" s="240">
        <f t="shared" si="16"/>
        <v>-124.94180063213727</v>
      </c>
      <c r="AN145" s="241">
        <f t="shared" si="29"/>
        <v>121.13271402946987</v>
      </c>
      <c r="AO145" s="242">
        <f t="shared" si="29"/>
        <v>124.94180063213727</v>
      </c>
      <c r="AP145" s="242"/>
      <c r="BB145" s="197"/>
      <c r="BC145" s="197"/>
      <c r="BD145" s="197"/>
    </row>
    <row r="146" spans="1:56" ht="20" thickBot="1" x14ac:dyDescent="0.35">
      <c r="B146" s="244">
        <v>9</v>
      </c>
      <c r="C146" s="245"/>
      <c r="D146" s="16">
        <v>1</v>
      </c>
      <c r="E146" s="234" t="s">
        <v>215</v>
      </c>
      <c r="F146" s="257" t="str">
        <f t="shared" si="17"/>
        <v>use the locking pin</v>
      </c>
      <c r="G146" s="248">
        <f t="shared" si="18"/>
        <v>1</v>
      </c>
      <c r="H146" s="888">
        <v>251.073172</v>
      </c>
      <c r="I146" s="889">
        <v>65.636175100000003</v>
      </c>
      <c r="J146" s="74">
        <f t="shared" si="19"/>
        <v>64.636175100000003</v>
      </c>
      <c r="K146" s="74">
        <f t="shared" si="6"/>
        <v>32.318087550000001</v>
      </c>
      <c r="L146" s="74">
        <f t="shared" si="7"/>
        <v>0.53461916118589337</v>
      </c>
      <c r="M146" s="74">
        <f t="shared" si="8"/>
        <v>134.22852861092153</v>
      </c>
      <c r="N146" s="74">
        <f t="shared" si="9"/>
        <v>268.45705722184306</v>
      </c>
      <c r="O146" s="74">
        <f>+C138+D139+D140+D141+D142+D143+D144+D145+(D146/2)</f>
        <v>7.5</v>
      </c>
      <c r="P146" s="74">
        <f t="shared" si="10"/>
        <v>0.13052619222005146</v>
      </c>
      <c r="Q146" s="74">
        <f t="shared" si="11"/>
        <v>35.040677453767643</v>
      </c>
      <c r="R146" s="74">
        <f t="shared" si="20"/>
        <v>325.65329844691598</v>
      </c>
      <c r="S146" s="74">
        <f t="shared" si="30"/>
        <v>360.69397590068365</v>
      </c>
      <c r="T146" s="74">
        <f t="shared" si="12"/>
        <v>360.69397590068365</v>
      </c>
      <c r="U146" s="249"/>
      <c r="V146">
        <f t="shared" si="13"/>
        <v>0</v>
      </c>
      <c r="W146" s="916"/>
      <c r="X146" s="235">
        <f>SUM(V146:V163)/($B$135-B145)</f>
        <v>0</v>
      </c>
      <c r="Y146" s="943">
        <f>SUM(D139:D146)+$C$138</f>
        <v>8</v>
      </c>
      <c r="Z146" s="898">
        <f t="shared" si="21"/>
        <v>67.499008599999996</v>
      </c>
      <c r="AA146" s="906">
        <f t="shared" si="14"/>
        <v>0.92387291072723265</v>
      </c>
      <c r="AB146" s="289">
        <f t="shared" si="22"/>
        <v>268.5170724412709</v>
      </c>
      <c r="AC146" s="908">
        <f t="shared" si="23"/>
        <v>65.181912400000002</v>
      </c>
      <c r="AD146" s="906">
        <f t="shared" si="24"/>
        <v>0.9076450172391024</v>
      </c>
      <c r="AE146" s="911">
        <f t="shared" si="25"/>
        <v>227.88531352821613</v>
      </c>
      <c r="AF146" s="906">
        <f t="shared" si="31"/>
        <v>-205.1</v>
      </c>
      <c r="AG146" s="944">
        <f t="shared" si="26"/>
        <v>496.402385969487</v>
      </c>
      <c r="AH146" s="254">
        <f t="shared" si="33"/>
        <v>-227.88531352821613</v>
      </c>
      <c r="AI146" s="254">
        <f t="shared" si="32"/>
        <v>227.88531352821613</v>
      </c>
      <c r="AJ146" s="254">
        <f t="shared" si="27"/>
        <v>-110.94397028359549</v>
      </c>
      <c r="AK146" s="255">
        <f t="shared" si="28"/>
        <v>-94.156029716404532</v>
      </c>
      <c r="AL146" s="255">
        <f t="shared" si="15"/>
        <v>-104.55728211590072</v>
      </c>
      <c r="AM146" s="240">
        <f t="shared" si="16"/>
        <v>-106.20668724158968</v>
      </c>
      <c r="AN146" s="241">
        <f t="shared" si="29"/>
        <v>104.55728211590072</v>
      </c>
      <c r="AO146" s="242">
        <f t="shared" si="29"/>
        <v>106.20668724158968</v>
      </c>
      <c r="AP146" s="242"/>
      <c r="BB146" s="197"/>
      <c r="BC146" s="197"/>
      <c r="BD146" s="197"/>
    </row>
    <row r="147" spans="1:56" ht="20" thickBot="1" x14ac:dyDescent="0.35">
      <c r="B147" s="244">
        <v>10</v>
      </c>
      <c r="C147" s="245"/>
      <c r="D147" s="16">
        <v>1</v>
      </c>
      <c r="E147" s="234" t="s">
        <v>215</v>
      </c>
      <c r="F147" s="257" t="str">
        <f t="shared" si="17"/>
        <v>use the locking pin</v>
      </c>
      <c r="G147" s="248">
        <f t="shared" si="18"/>
        <v>1</v>
      </c>
      <c r="H147" s="888">
        <v>251.073172</v>
      </c>
      <c r="I147" s="889">
        <v>65.636175100000003</v>
      </c>
      <c r="J147" s="74">
        <f t="shared" si="19"/>
        <v>64.636175100000003</v>
      </c>
      <c r="K147" s="74">
        <f t="shared" si="6"/>
        <v>32.318087550000001</v>
      </c>
      <c r="L147" s="74">
        <f t="shared" si="7"/>
        <v>0.53461916118589337</v>
      </c>
      <c r="M147" s="74">
        <f t="shared" si="8"/>
        <v>134.22852861092153</v>
      </c>
      <c r="N147" s="74">
        <f t="shared" si="9"/>
        <v>268.45705722184306</v>
      </c>
      <c r="O147" s="74">
        <f>+C138+D139+D140+D141+D142+D143+D144+D145+D146+(D147/2)</f>
        <v>8.5</v>
      </c>
      <c r="P147" s="74">
        <f t="shared" si="10"/>
        <v>0.14780941112961046</v>
      </c>
      <c r="Q147" s="74">
        <f t="shared" si="11"/>
        <v>39.680479541548763</v>
      </c>
      <c r="R147" s="74">
        <f t="shared" si="20"/>
        <v>360.69397590068365</v>
      </c>
      <c r="S147" s="74">
        <f t="shared" si="30"/>
        <v>400.37445544223243</v>
      </c>
      <c r="T147" s="74">
        <f t="shared" si="12"/>
        <v>400.37445544223243</v>
      </c>
      <c r="U147" s="249"/>
      <c r="V147">
        <f t="shared" si="13"/>
        <v>0</v>
      </c>
      <c r="W147" s="916"/>
      <c r="X147" s="235">
        <f>SUM(V147:V163)/($B$135-B146)</f>
        <v>0</v>
      </c>
      <c r="Y147" s="943">
        <f>SUM(D139:D147)+$C$138</f>
        <v>9</v>
      </c>
      <c r="Z147" s="898">
        <f t="shared" si="21"/>
        <v>66.499008599999996</v>
      </c>
      <c r="AA147" s="906">
        <f t="shared" si="14"/>
        <v>0.91705317461526137</v>
      </c>
      <c r="AB147" s="289">
        <f t="shared" si="22"/>
        <v>266.53496477868435</v>
      </c>
      <c r="AC147" s="908">
        <f t="shared" si="23"/>
        <v>66.181912400000002</v>
      </c>
      <c r="AD147" s="906">
        <f t="shared" si="24"/>
        <v>0.91483222778230289</v>
      </c>
      <c r="AE147" s="911">
        <f t="shared" si="25"/>
        <v>229.68982927712932</v>
      </c>
      <c r="AF147" s="906">
        <f t="shared" si="31"/>
        <v>-234.4</v>
      </c>
      <c r="AG147" s="944">
        <f t="shared" si="26"/>
        <v>496.22479405581367</v>
      </c>
      <c r="AH147" s="254">
        <f t="shared" si="33"/>
        <v>-229.68982927712932</v>
      </c>
      <c r="AI147" s="254">
        <f t="shared" si="32"/>
        <v>229.68982927712932</v>
      </c>
      <c r="AJ147" s="254">
        <f t="shared" si="27"/>
        <v>-125.90220499360326</v>
      </c>
      <c r="AK147" s="255">
        <f t="shared" si="28"/>
        <v>-108.49779500639674</v>
      </c>
      <c r="AL147" s="255">
        <f t="shared" si="15"/>
        <v>-92.135002723656541</v>
      </c>
      <c r="AM147" s="240">
        <f t="shared" si="16"/>
        <v>-92.167771699050903</v>
      </c>
      <c r="AN147" s="241">
        <f t="shared" si="29"/>
        <v>92.135002723656541</v>
      </c>
      <c r="AO147" s="242">
        <f t="shared" si="29"/>
        <v>92.167771699050903</v>
      </c>
      <c r="AP147" s="242"/>
      <c r="BB147" s="197"/>
      <c r="BC147" s="197"/>
      <c r="BD147" s="197"/>
    </row>
    <row r="148" spans="1:56" ht="20" thickBot="1" x14ac:dyDescent="0.35">
      <c r="A148" s="258"/>
      <c r="B148" s="244">
        <v>11</v>
      </c>
      <c r="C148" s="245"/>
      <c r="D148" s="16">
        <v>1</v>
      </c>
      <c r="E148" s="234" t="s">
        <v>215</v>
      </c>
      <c r="F148" s="257" t="str">
        <f t="shared" si="17"/>
        <v>use the locking pin</v>
      </c>
      <c r="G148" s="248">
        <f t="shared" si="18"/>
        <v>1</v>
      </c>
      <c r="H148" s="888">
        <v>251.073172</v>
      </c>
      <c r="I148" s="889">
        <v>65.636175100000003</v>
      </c>
      <c r="J148" s="74">
        <f t="shared" si="19"/>
        <v>64.636175100000003</v>
      </c>
      <c r="K148" s="74">
        <f t="shared" si="6"/>
        <v>32.318087550000001</v>
      </c>
      <c r="L148" s="74">
        <f t="shared" si="7"/>
        <v>0.53461916118589337</v>
      </c>
      <c r="M148" s="74">
        <f t="shared" si="8"/>
        <v>134.22852861092153</v>
      </c>
      <c r="N148" s="74">
        <f t="shared" si="9"/>
        <v>268.45705722184306</v>
      </c>
      <c r="O148" s="74">
        <f>+C138+D139+D140+D141+D142+D143+D144+D145+D146+D147+(D148/2)</f>
        <v>9.5</v>
      </c>
      <c r="P148" s="74">
        <f t="shared" si="10"/>
        <v>0.16504760586067749</v>
      </c>
      <c r="Q148" s="74">
        <f t="shared" si="11"/>
        <v>44.308194570868096</v>
      </c>
      <c r="R148" s="74">
        <f t="shared" si="20"/>
        <v>400.37445544223243</v>
      </c>
      <c r="S148" s="74">
        <f t="shared" si="30"/>
        <v>444.68265001310056</v>
      </c>
      <c r="T148" s="74">
        <f t="shared" si="12"/>
        <v>444.68265001310056</v>
      </c>
      <c r="U148" s="249"/>
      <c r="V148">
        <f t="shared" si="13"/>
        <v>0</v>
      </c>
      <c r="W148" s="916"/>
      <c r="X148" s="235">
        <f>SUM(V148:V163)/($B$135-B147)</f>
        <v>0</v>
      </c>
      <c r="Y148" s="943">
        <f>SUM(D139:D148)+$C$138</f>
        <v>10</v>
      </c>
      <c r="Z148" s="898">
        <f t="shared" si="21"/>
        <v>65.499008599999996</v>
      </c>
      <c r="AA148" s="906">
        <f t="shared" si="14"/>
        <v>0.90995409522260873</v>
      </c>
      <c r="AB148" s="289">
        <f t="shared" si="22"/>
        <v>264.4716679838441</v>
      </c>
      <c r="AC148" s="908">
        <f t="shared" si="23"/>
        <v>67.181912400000002</v>
      </c>
      <c r="AD148" s="906">
        <f t="shared" si="24"/>
        <v>0.92174077156674206</v>
      </c>
      <c r="AE148" s="911">
        <f t="shared" si="25"/>
        <v>231.42437927898933</v>
      </c>
      <c r="AF148" s="906">
        <f t="shared" si="31"/>
        <v>-263.7</v>
      </c>
      <c r="AG148" s="944">
        <f t="shared" si="26"/>
        <v>495.89604726283346</v>
      </c>
      <c r="AH148" s="254">
        <f t="shared" si="33"/>
        <v>-231.42437927898933</v>
      </c>
      <c r="AI148" s="254">
        <f t="shared" si="32"/>
        <v>231.42437927898933</v>
      </c>
      <c r="AJ148" s="254">
        <f t="shared" si="27"/>
        <v>-140.63669035533903</v>
      </c>
      <c r="AK148" s="255">
        <f t="shared" si="28"/>
        <v>-123.06330964466092</v>
      </c>
      <c r="AL148" s="255">
        <f t="shared" si="15"/>
        <v>-82.482032040791879</v>
      </c>
      <c r="AM148" s="240">
        <f t="shared" si="16"/>
        <v>-81.25898798654525</v>
      </c>
      <c r="AN148" s="241">
        <f t="shared" si="29"/>
        <v>82.482032040791879</v>
      </c>
      <c r="AO148" s="242">
        <f t="shared" si="29"/>
        <v>81.25898798654525</v>
      </c>
      <c r="AP148" s="242"/>
      <c r="BB148" s="197"/>
      <c r="BC148" s="197"/>
      <c r="BD148" s="197"/>
    </row>
    <row r="149" spans="1:56" ht="20" thickBot="1" x14ac:dyDescent="0.35">
      <c r="A149" s="258"/>
      <c r="B149" s="244">
        <v>12</v>
      </c>
      <c r="C149" s="245"/>
      <c r="D149" s="16">
        <v>1</v>
      </c>
      <c r="E149" s="234" t="s">
        <v>215</v>
      </c>
      <c r="F149" s="257" t="str">
        <f t="shared" si="17"/>
        <v>use the locking pin</v>
      </c>
      <c r="G149" s="248">
        <f t="shared" si="18"/>
        <v>1</v>
      </c>
      <c r="H149" s="888">
        <v>251.073172</v>
      </c>
      <c r="I149" s="889">
        <v>65.636175100000003</v>
      </c>
      <c r="J149" s="74">
        <f t="shared" si="19"/>
        <v>64.636175100000003</v>
      </c>
      <c r="K149" s="74">
        <f t="shared" si="6"/>
        <v>32.318087550000001</v>
      </c>
      <c r="L149" s="74">
        <f t="shared" si="7"/>
        <v>0.53461916118589337</v>
      </c>
      <c r="M149" s="74">
        <f t="shared" si="8"/>
        <v>134.22852861092153</v>
      </c>
      <c r="N149" s="74">
        <f t="shared" si="9"/>
        <v>268.45705722184306</v>
      </c>
      <c r="O149" s="74">
        <f>+C138+D139+D140+D141+D142+D143+D144+D145+D146+D147+D148+(D149/2)</f>
        <v>10.5</v>
      </c>
      <c r="P149" s="74">
        <f t="shared" si="10"/>
        <v>0.18223552549214728</v>
      </c>
      <c r="Q149" s="74">
        <f t="shared" si="11"/>
        <v>48.922412894898024</v>
      </c>
      <c r="R149" s="74">
        <f t="shared" si="20"/>
        <v>444.68265001310056</v>
      </c>
      <c r="S149" s="74">
        <f t="shared" si="30"/>
        <v>493.60506290799856</v>
      </c>
      <c r="T149" s="74">
        <f t="shared" si="12"/>
        <v>493.60506290799856</v>
      </c>
      <c r="U149" s="249"/>
      <c r="V149">
        <f t="shared" si="13"/>
        <v>0</v>
      </c>
      <c r="W149" s="916"/>
      <c r="X149" s="235">
        <f>SUM(V149:V163)/($B$135-B148)</f>
        <v>0</v>
      </c>
      <c r="Y149" s="943">
        <f>SUM(D139:D149)+$C$138</f>
        <v>11</v>
      </c>
      <c r="Z149" s="898">
        <f t="shared" si="21"/>
        <v>64.499008599999996</v>
      </c>
      <c r="AA149" s="906">
        <f t="shared" si="14"/>
        <v>0.902577834997628</v>
      </c>
      <c r="AB149" s="289">
        <f t="shared" si="22"/>
        <v>262.32781055694142</v>
      </c>
      <c r="AC149" s="908">
        <f t="shared" si="23"/>
        <v>68.181912400000002</v>
      </c>
      <c r="AD149" s="906">
        <f t="shared" si="24"/>
        <v>0.9283685441830587</v>
      </c>
      <c r="AE149" s="911">
        <f t="shared" si="25"/>
        <v>233.08843517306269</v>
      </c>
      <c r="AF149" s="906">
        <f t="shared" si="31"/>
        <v>-293</v>
      </c>
      <c r="AG149" s="944">
        <f t="shared" si="26"/>
        <v>495.41624573000411</v>
      </c>
      <c r="AH149" s="254">
        <f t="shared" si="33"/>
        <v>-233.08843517306269</v>
      </c>
      <c r="AI149" s="254">
        <f t="shared" si="32"/>
        <v>233.08843517306269</v>
      </c>
      <c r="AJ149" s="254">
        <f t="shared" si="27"/>
        <v>-155.14640296045667</v>
      </c>
      <c r="AK149" s="255">
        <f t="shared" si="28"/>
        <v>-137.85359703954333</v>
      </c>
      <c r="AL149" s="255">
        <f t="shared" si="15"/>
        <v>-74.76808858376549</v>
      </c>
      <c r="AM149" s="240">
        <f t="shared" si="16"/>
        <v>-72.540725920495916</v>
      </c>
      <c r="AN149" s="241">
        <f t="shared" si="29"/>
        <v>74.76808858376549</v>
      </c>
      <c r="AO149" s="242">
        <f t="shared" si="29"/>
        <v>72.540725920495916</v>
      </c>
      <c r="AP149" s="242"/>
      <c r="BB149" s="197"/>
      <c r="BC149" s="197"/>
      <c r="BD149" s="197"/>
    </row>
    <row r="150" spans="1:56" ht="20" thickBot="1" x14ac:dyDescent="0.35">
      <c r="B150" s="244">
        <v>13</v>
      </c>
      <c r="C150" s="245"/>
      <c r="D150" s="16">
        <v>1</v>
      </c>
      <c r="E150" s="234" t="s">
        <v>215</v>
      </c>
      <c r="F150" s="257" t="str">
        <f t="shared" si="17"/>
        <v>use the locking pin</v>
      </c>
      <c r="G150" s="248">
        <f t="shared" si="18"/>
        <v>1</v>
      </c>
      <c r="H150" s="888">
        <v>251.073172</v>
      </c>
      <c r="I150" s="889">
        <v>65.636175100000003</v>
      </c>
      <c r="J150" s="74">
        <f t="shared" si="19"/>
        <v>64.636175100000003</v>
      </c>
      <c r="K150" s="74">
        <f t="shared" si="6"/>
        <v>32.318087550000001</v>
      </c>
      <c r="L150" s="74">
        <f t="shared" si="7"/>
        <v>0.53461916118589337</v>
      </c>
      <c r="M150" s="74">
        <f t="shared" si="8"/>
        <v>134.22852861092153</v>
      </c>
      <c r="N150" s="74">
        <f t="shared" si="9"/>
        <v>268.45705722184306</v>
      </c>
      <c r="O150" s="74">
        <f>+C138+D139+D140+D141+D142+D143+D144+D145+D146+D147+D148+D149+(D150/2)</f>
        <v>11.5</v>
      </c>
      <c r="P150" s="74">
        <f t="shared" si="10"/>
        <v>0.19936793441719697</v>
      </c>
      <c r="Q150" s="74">
        <f t="shared" si="11"/>
        <v>53.521728978038098</v>
      </c>
      <c r="R150" s="74">
        <f t="shared" si="20"/>
        <v>493.60506290799856</v>
      </c>
      <c r="S150" s="74">
        <f t="shared" si="30"/>
        <v>547.1267918860367</v>
      </c>
      <c r="T150" s="74">
        <f t="shared" si="12"/>
        <v>547.1267918860367</v>
      </c>
      <c r="U150" s="249"/>
      <c r="V150">
        <f t="shared" si="13"/>
        <v>0</v>
      </c>
      <c r="W150" s="916"/>
      <c r="X150" s="235">
        <f>SUM(V150:V163)/($B$135-B149)</f>
        <v>0</v>
      </c>
      <c r="Y150" s="943">
        <f>SUM(D139:D150)+$C$138</f>
        <v>12</v>
      </c>
      <c r="Z150" s="898">
        <f t="shared" si="21"/>
        <v>63.499008599999996</v>
      </c>
      <c r="AA150" s="906">
        <f t="shared" si="14"/>
        <v>0.89492664082063922</v>
      </c>
      <c r="AB150" s="289">
        <f t="shared" si="22"/>
        <v>260.1040455377165</v>
      </c>
      <c r="AC150" s="908">
        <f t="shared" si="23"/>
        <v>69.181912400000002</v>
      </c>
      <c r="AD150" s="906">
        <f t="shared" si="24"/>
        <v>0.93471352674750907</v>
      </c>
      <c r="AE150" s="911">
        <f t="shared" si="25"/>
        <v>234.68149007180395</v>
      </c>
      <c r="AF150" s="906">
        <f t="shared" si="31"/>
        <v>-322.3</v>
      </c>
      <c r="AG150" s="944">
        <f t="shared" si="26"/>
        <v>494.78553560952048</v>
      </c>
      <c r="AH150" s="254">
        <f t="shared" si="33"/>
        <v>-234.68149007180395</v>
      </c>
      <c r="AI150" s="254">
        <f t="shared" si="32"/>
        <v>234.68149007180395</v>
      </c>
      <c r="AJ150" s="254">
        <f t="shared" si="27"/>
        <v>-169.43004159071657</v>
      </c>
      <c r="AK150" s="255">
        <f t="shared" si="28"/>
        <v>-152.86995840928341</v>
      </c>
      <c r="AL150" s="255">
        <f t="shared" si="15"/>
        <v>-68.464835935185107</v>
      </c>
      <c r="AM150" s="240">
        <f t="shared" si="16"/>
        <v>-65.415076343690075</v>
      </c>
      <c r="AN150" s="241">
        <f t="shared" si="29"/>
        <v>68.464835935185107</v>
      </c>
      <c r="AO150" s="242">
        <f t="shared" si="29"/>
        <v>65.415076343690075</v>
      </c>
      <c r="AP150" s="242"/>
      <c r="BB150" s="197"/>
      <c r="BC150" s="197"/>
      <c r="BD150" s="197"/>
    </row>
    <row r="151" spans="1:56" ht="20" thickBot="1" x14ac:dyDescent="0.35">
      <c r="B151" s="244">
        <v>14</v>
      </c>
      <c r="C151" s="245"/>
      <c r="D151" s="16">
        <v>1</v>
      </c>
      <c r="E151" s="234" t="s">
        <v>215</v>
      </c>
      <c r="F151" s="257" t="str">
        <f t="shared" si="17"/>
        <v>use the locking pin</v>
      </c>
      <c r="G151" s="248">
        <f t="shared" si="18"/>
        <v>1</v>
      </c>
      <c r="H151" s="888">
        <v>251.073172</v>
      </c>
      <c r="I151" s="889">
        <v>65.636175100000003</v>
      </c>
      <c r="J151" s="74">
        <f t="shared" si="19"/>
        <v>64.636175100000003</v>
      </c>
      <c r="K151" s="74">
        <f t="shared" si="6"/>
        <v>32.318087550000001</v>
      </c>
      <c r="L151" s="74">
        <f t="shared" si="7"/>
        <v>0.53461916118589337</v>
      </c>
      <c r="M151" s="74">
        <f t="shared" si="8"/>
        <v>134.22852861092153</v>
      </c>
      <c r="N151" s="74">
        <f t="shared" si="9"/>
        <v>268.45705722184306</v>
      </c>
      <c r="O151" s="74">
        <f>+C138+D139+D140+D141+D142+D143+D144+D145+D146+D147+D148+D149+D150+(D151/2)</f>
        <v>12.5</v>
      </c>
      <c r="P151" s="74">
        <f t="shared" si="10"/>
        <v>0.21643961393810265</v>
      </c>
      <c r="Q151" s="74">
        <f t="shared" si="11"/>
        <v>58.104741824054848</v>
      </c>
      <c r="R151" s="74">
        <f t="shared" si="20"/>
        <v>547.1267918860367</v>
      </c>
      <c r="S151" s="74">
        <f t="shared" si="30"/>
        <v>605.23153371009153</v>
      </c>
      <c r="T151" s="74">
        <f t="shared" si="12"/>
        <v>605.23153371009153</v>
      </c>
      <c r="U151" s="249"/>
      <c r="V151">
        <f t="shared" si="13"/>
        <v>0</v>
      </c>
      <c r="W151" s="916"/>
      <c r="X151" s="235">
        <f>SUM(V151:V163)/($B$135-B150)</f>
        <v>0</v>
      </c>
      <c r="Y151" s="943">
        <f>SUM(D139:D151)+$C$138</f>
        <v>13</v>
      </c>
      <c r="Z151" s="898">
        <f t="shared" si="21"/>
        <v>62.499008599999996</v>
      </c>
      <c r="AA151" s="906">
        <f t="shared" si="14"/>
        <v>0.88700284331950752</v>
      </c>
      <c r="AB151" s="289">
        <f t="shared" si="22"/>
        <v>257.8010503065363</v>
      </c>
      <c r="AC151" s="908">
        <f t="shared" si="23"/>
        <v>70.181912400000002</v>
      </c>
      <c r="AD151" s="906">
        <f t="shared" si="24"/>
        <v>0.94077378651693899</v>
      </c>
      <c r="AE151" s="911">
        <f t="shared" si="25"/>
        <v>236.20305871525869</v>
      </c>
      <c r="AF151" s="906">
        <f t="shared" si="31"/>
        <v>-351.6</v>
      </c>
      <c r="AG151" s="944">
        <f t="shared" si="26"/>
        <v>494.00410902179499</v>
      </c>
      <c r="AH151" s="254">
        <f t="shared" si="33"/>
        <v>-236.20305871525869</v>
      </c>
      <c r="AI151" s="254">
        <f t="shared" si="32"/>
        <v>236.20305871525869</v>
      </c>
      <c r="AJ151" s="254">
        <f t="shared" si="27"/>
        <v>-183.4860229548801</v>
      </c>
      <c r="AK151" s="255">
        <f t="shared" si="28"/>
        <v>-168.11397704511992</v>
      </c>
      <c r="AL151" s="255">
        <f t="shared" si="15"/>
        <v>-63.220074277006283</v>
      </c>
      <c r="AM151" s="240">
        <f t="shared" si="16"/>
        <v>-59.483453879126962</v>
      </c>
      <c r="AN151" s="241">
        <f t="shared" si="29"/>
        <v>63.220074277006283</v>
      </c>
      <c r="AO151" s="242">
        <f t="shared" si="29"/>
        <v>59.483453879126962</v>
      </c>
      <c r="AP151" s="242"/>
      <c r="BB151" s="197"/>
      <c r="BC151" s="197"/>
      <c r="BD151" s="197"/>
    </row>
    <row r="152" spans="1:56" ht="20" thickBot="1" x14ac:dyDescent="0.35">
      <c r="B152" s="244">
        <v>15</v>
      </c>
      <c r="C152" s="245"/>
      <c r="D152" s="16">
        <v>1</v>
      </c>
      <c r="E152" s="234" t="s">
        <v>215</v>
      </c>
      <c r="F152" s="257" t="str">
        <f t="shared" si="17"/>
        <v>use the locking pin</v>
      </c>
      <c r="G152" s="248">
        <f t="shared" si="18"/>
        <v>1</v>
      </c>
      <c r="H152" s="888">
        <v>251.073172</v>
      </c>
      <c r="I152" s="889">
        <v>65.636175100000003</v>
      </c>
      <c r="J152" s="74">
        <f t="shared" si="19"/>
        <v>64.636175100000003</v>
      </c>
      <c r="K152" s="74">
        <f t="shared" si="6"/>
        <v>32.318087550000001</v>
      </c>
      <c r="L152" s="74">
        <f t="shared" si="7"/>
        <v>0.53461916118589337</v>
      </c>
      <c r="M152" s="74">
        <f t="shared" si="8"/>
        <v>134.22852861092153</v>
      </c>
      <c r="N152" s="74">
        <f t="shared" si="9"/>
        <v>268.45705722184306</v>
      </c>
      <c r="O152" s="74">
        <f>+C138+D139+D140+D141+D142+D143+D144+D145+D146+D147+D148+D149+D150+D151+(D152/2)</f>
        <v>13.5</v>
      </c>
      <c r="P152" s="74">
        <f t="shared" si="10"/>
        <v>0.23344536385590517</v>
      </c>
      <c r="Q152" s="74">
        <f t="shared" si="11"/>
        <v>62.670055402838706</v>
      </c>
      <c r="R152" s="74">
        <f t="shared" si="20"/>
        <v>605.23153371009153</v>
      </c>
      <c r="S152" s="74">
        <f t="shared" si="30"/>
        <v>667.9015891129302</v>
      </c>
      <c r="T152" s="74">
        <f t="shared" si="12"/>
        <v>667.9015891129302</v>
      </c>
      <c r="U152" s="249"/>
      <c r="V152">
        <f t="shared" si="13"/>
        <v>0</v>
      </c>
      <c r="W152" s="916"/>
      <c r="X152" s="235">
        <f>SUM(V152:V163)/($B$135-B151)</f>
        <v>0</v>
      </c>
      <c r="Y152" s="943">
        <f>SUM(D139:D152)+$C$138</f>
        <v>14</v>
      </c>
      <c r="Z152" s="898">
        <f t="shared" si="21"/>
        <v>61.499008599999996</v>
      </c>
      <c r="AA152" s="906">
        <f t="shared" si="14"/>
        <v>0.87880885615971105</v>
      </c>
      <c r="AB152" s="289">
        <f t="shared" si="22"/>
        <v>255.4195263780579</v>
      </c>
      <c r="AC152" s="908">
        <f t="shared" si="23"/>
        <v>71.181912400000002</v>
      </c>
      <c r="AD152" s="906">
        <f t="shared" si="24"/>
        <v>0.94654747747751544</v>
      </c>
      <c r="AE152" s="911">
        <f t="shared" si="25"/>
        <v>237.65267761887836</v>
      </c>
      <c r="AF152" s="906">
        <f t="shared" si="31"/>
        <v>-380.90000000000003</v>
      </c>
      <c r="AG152" s="944">
        <f t="shared" si="26"/>
        <v>493.07220399693625</v>
      </c>
      <c r="AH152" s="254">
        <f t="shared" si="33"/>
        <v>-237.65267761887836</v>
      </c>
      <c r="AI152" s="254">
        <f t="shared" si="32"/>
        <v>237.65267761887836</v>
      </c>
      <c r="AJ152" s="254">
        <f t="shared" si="27"/>
        <v>-197.31247636503713</v>
      </c>
      <c r="AK152" s="255">
        <f t="shared" si="28"/>
        <v>-183.58752363496288</v>
      </c>
      <c r="AL152" s="255">
        <f t="shared" si="15"/>
        <v>-58.78999753943318</v>
      </c>
      <c r="AM152" s="240">
        <f t="shared" si="16"/>
        <v>-54.469932389760579</v>
      </c>
      <c r="AN152" s="241">
        <f t="shared" si="29"/>
        <v>58.78999753943318</v>
      </c>
      <c r="AO152" s="242">
        <f t="shared" si="29"/>
        <v>54.469932389760579</v>
      </c>
      <c r="AP152" s="242"/>
      <c r="BB152" s="197"/>
      <c r="BC152" s="197"/>
      <c r="BD152" s="197"/>
    </row>
    <row r="153" spans="1:56" ht="20" thickBot="1" x14ac:dyDescent="0.35">
      <c r="B153" s="244">
        <v>16</v>
      </c>
      <c r="C153" s="245"/>
      <c r="D153" s="16">
        <v>1</v>
      </c>
      <c r="E153" s="234" t="s">
        <v>215</v>
      </c>
      <c r="F153" s="257" t="str">
        <f t="shared" si="17"/>
        <v>use the locking pin</v>
      </c>
      <c r="G153" s="248">
        <f t="shared" si="18"/>
        <v>1</v>
      </c>
      <c r="H153" s="888">
        <v>251.073172</v>
      </c>
      <c r="I153" s="889">
        <v>65.636175100000003</v>
      </c>
      <c r="J153" s="74">
        <f t="shared" si="19"/>
        <v>64.636175100000003</v>
      </c>
      <c r="K153" s="74">
        <f t="shared" si="6"/>
        <v>32.318087550000001</v>
      </c>
      <c r="L153" s="74">
        <f t="shared" si="7"/>
        <v>0.53461916118589337</v>
      </c>
      <c r="M153" s="74">
        <f t="shared" si="8"/>
        <v>134.22852861092153</v>
      </c>
      <c r="N153" s="74">
        <f t="shared" si="9"/>
        <v>268.45705722184306</v>
      </c>
      <c r="O153" s="74">
        <f>+C138+D139+D140+D141+D142+D143+D144+D145+D146+D147+D148+D149+D150+D151+D152+(D153/2)</f>
        <v>14.5</v>
      </c>
      <c r="P153" s="74">
        <f t="shared" si="10"/>
        <v>0.25038000405444116</v>
      </c>
      <c r="Q153" s="74">
        <f t="shared" si="11"/>
        <v>67.216279075648401</v>
      </c>
      <c r="R153" s="74">
        <f t="shared" si="20"/>
        <v>667.9015891129302</v>
      </c>
      <c r="S153" s="74">
        <f t="shared" si="30"/>
        <v>735.11786818857854</v>
      </c>
      <c r="T153" s="74">
        <f t="shared" si="12"/>
        <v>735.11786818857854</v>
      </c>
      <c r="U153" s="249"/>
      <c r="V153">
        <f t="shared" si="13"/>
        <v>0</v>
      </c>
      <c r="W153" s="916"/>
      <c r="X153" s="235">
        <f>SUM(V153:V163)/($B$135-B152)</f>
        <v>0</v>
      </c>
      <c r="Y153" s="943">
        <f>SUM(D139:D153)+$C$138</f>
        <v>15</v>
      </c>
      <c r="Z153" s="898">
        <f t="shared" si="21"/>
        <v>60.499008599999996</v>
      </c>
      <c r="AA153" s="906">
        <f t="shared" si="14"/>
        <v>0.87034717530911587</v>
      </c>
      <c r="AB153" s="289">
        <f t="shared" si="22"/>
        <v>252.96019918754024</v>
      </c>
      <c r="AC153" s="908">
        <f t="shared" si="23"/>
        <v>72.181912400000002</v>
      </c>
      <c r="AD153" s="906">
        <f t="shared" si="24"/>
        <v>0.95203284090704099</v>
      </c>
      <c r="AE153" s="911">
        <f t="shared" si="25"/>
        <v>239.02990521470213</v>
      </c>
      <c r="AF153" s="906">
        <f t="shared" si="31"/>
        <v>-410.2</v>
      </c>
      <c r="AG153" s="944">
        <f t="shared" si="26"/>
        <v>491.99010440224237</v>
      </c>
      <c r="AH153" s="254">
        <f t="shared" si="33"/>
        <v>-239.02990521470213</v>
      </c>
      <c r="AI153" s="254">
        <f t="shared" si="32"/>
        <v>239.02990521470213</v>
      </c>
      <c r="AJ153" s="254">
        <f t="shared" si="27"/>
        <v>-210.90723731689766</v>
      </c>
      <c r="AK153" s="255">
        <f t="shared" si="28"/>
        <v>-199.2927626831023</v>
      </c>
      <c r="AL153" s="255">
        <f t="shared" si="15"/>
        <v>-55.00048337635031</v>
      </c>
      <c r="AM153" s="240">
        <f t="shared" si="16"/>
        <v>-50.17743677878115</v>
      </c>
      <c r="AN153" s="241">
        <f t="shared" si="29"/>
        <v>55.00048337635031</v>
      </c>
      <c r="AO153" s="242">
        <f t="shared" si="29"/>
        <v>50.17743677878115</v>
      </c>
      <c r="AP153" s="242"/>
      <c r="BB153" s="197"/>
      <c r="BC153" s="197"/>
      <c r="BD153" s="197"/>
    </row>
    <row r="154" spans="1:56" ht="20" thickBot="1" x14ac:dyDescent="0.35">
      <c r="B154" s="244">
        <v>17</v>
      </c>
      <c r="C154" s="245"/>
      <c r="D154" s="16">
        <v>1</v>
      </c>
      <c r="E154" s="234" t="s">
        <v>215</v>
      </c>
      <c r="F154" s="257" t="str">
        <f t="shared" si="17"/>
        <v>use the locking pin</v>
      </c>
      <c r="G154" s="248">
        <f t="shared" si="18"/>
        <v>1</v>
      </c>
      <c r="H154" s="888">
        <v>251.073172</v>
      </c>
      <c r="I154" s="889">
        <v>65.636175100000003</v>
      </c>
      <c r="J154" s="74">
        <f t="shared" si="19"/>
        <v>64.636175100000003</v>
      </c>
      <c r="K154" s="74">
        <f t="shared" si="6"/>
        <v>32.318087550000001</v>
      </c>
      <c r="L154" s="74">
        <f t="shared" si="7"/>
        <v>0.53461916118589337</v>
      </c>
      <c r="M154" s="74">
        <f t="shared" si="8"/>
        <v>134.22852861092153</v>
      </c>
      <c r="N154" s="74">
        <f t="shared" si="9"/>
        <v>268.45705722184306</v>
      </c>
      <c r="O154" s="74">
        <f>+C138+D139+D140+D141+D142+D143+D144+D145+D146+D147+D148+D149+D150+D151+D152+D153+(D154/2)</f>
        <v>15.5</v>
      </c>
      <c r="P154" s="74">
        <f t="shared" si="10"/>
        <v>0.26723837607825657</v>
      </c>
      <c r="Q154" s="74">
        <f t="shared" si="11"/>
        <v>71.742028018712944</v>
      </c>
      <c r="R154" s="74">
        <f t="shared" si="20"/>
        <v>735.11786818857854</v>
      </c>
      <c r="S154" s="74">
        <f t="shared" si="30"/>
        <v>806.85989620729151</v>
      </c>
      <c r="T154" s="74">
        <f t="shared" si="12"/>
        <v>806.85989620729151</v>
      </c>
      <c r="U154" s="249"/>
      <c r="V154">
        <f t="shared" si="13"/>
        <v>0</v>
      </c>
      <c r="W154" s="916"/>
      <c r="X154" s="235">
        <f>SUM(V154:V163)/($B$135-B153)</f>
        <v>0</v>
      </c>
      <c r="Y154" s="943">
        <f>SUM(D139:D154)+$C$138</f>
        <v>16</v>
      </c>
      <c r="Z154" s="898">
        <f t="shared" si="21"/>
        <v>59.499008599999996</v>
      </c>
      <c r="AA154" s="906">
        <f t="shared" si="14"/>
        <v>0.86162037827767901</v>
      </c>
      <c r="AB154" s="289">
        <f t="shared" si="22"/>
        <v>250.42381786986954</v>
      </c>
      <c r="AC154" s="908">
        <f t="shared" si="23"/>
        <v>73.181912400000002</v>
      </c>
      <c r="AD154" s="906">
        <f t="shared" si="24"/>
        <v>0.95722820591067703</v>
      </c>
      <c r="AE154" s="911">
        <f t="shared" si="25"/>
        <v>240.33432198586283</v>
      </c>
      <c r="AF154" s="906">
        <f t="shared" si="31"/>
        <v>-439.5</v>
      </c>
      <c r="AG154" s="944">
        <f t="shared" si="26"/>
        <v>490.75813985573234</v>
      </c>
      <c r="AH154" s="254">
        <f t="shared" si="33"/>
        <v>-240.33432198586283</v>
      </c>
      <c r="AI154" s="254">
        <f t="shared" si="32"/>
        <v>240.33432198586283</v>
      </c>
      <c r="AJ154" s="254">
        <f t="shared" si="27"/>
        <v>-224.26783993060664</v>
      </c>
      <c r="AK154" s="255">
        <f t="shared" si="28"/>
        <v>-215.23216006939336</v>
      </c>
      <c r="AL154" s="255">
        <f t="shared" si="15"/>
        <v>-51.723867334653477</v>
      </c>
      <c r="AM154" s="240">
        <f t="shared" si="16"/>
        <v>-46.461458161159015</v>
      </c>
      <c r="AN154" s="241">
        <f t="shared" si="29"/>
        <v>51.723867334653477</v>
      </c>
      <c r="AO154" s="242">
        <f t="shared" si="29"/>
        <v>46.461458161159015</v>
      </c>
      <c r="AP154" s="242"/>
      <c r="BB154" s="197"/>
      <c r="BC154" s="197"/>
      <c r="BD154" s="197"/>
    </row>
    <row r="155" spans="1:56" ht="20" thickBot="1" x14ac:dyDescent="0.35">
      <c r="B155" s="244">
        <v>18</v>
      </c>
      <c r="C155" s="245"/>
      <c r="D155" s="16">
        <v>1</v>
      </c>
      <c r="E155" s="234" t="s">
        <v>215</v>
      </c>
      <c r="F155" s="257" t="str">
        <f t="shared" si="17"/>
        <v>use the locking pin</v>
      </c>
      <c r="G155" s="248">
        <f t="shared" si="18"/>
        <v>1</v>
      </c>
      <c r="H155" s="888">
        <v>251.073172</v>
      </c>
      <c r="I155" s="889">
        <v>65.636175100000003</v>
      </c>
      <c r="J155" s="74">
        <f t="shared" si="19"/>
        <v>64.636175100000003</v>
      </c>
      <c r="K155" s="74">
        <f t="shared" si="6"/>
        <v>32.318087550000001</v>
      </c>
      <c r="L155" s="74">
        <f t="shared" si="7"/>
        <v>0.53461916118589337</v>
      </c>
      <c r="M155" s="74">
        <f t="shared" si="8"/>
        <v>134.22852861092153</v>
      </c>
      <c r="N155" s="74">
        <f t="shared" si="9"/>
        <v>268.45705722184306</v>
      </c>
      <c r="O155" s="74">
        <f>+C138+D139+D140+D141+D142+D143+D144+D145+D146+D147+D148+D149+D150+D151+D152+D153+D154+(D155/2)</f>
        <v>16.5</v>
      </c>
      <c r="P155" s="74">
        <f t="shared" si="10"/>
        <v>0.28401534470392237</v>
      </c>
      <c r="Q155" s="74">
        <f t="shared" si="11"/>
        <v>76.245923645062362</v>
      </c>
      <c r="R155" s="74">
        <f t="shared" si="20"/>
        <v>806.85989620729151</v>
      </c>
      <c r="S155" s="74">
        <f t="shared" si="30"/>
        <v>883.10581985235387</v>
      </c>
      <c r="T155" s="74">
        <f t="shared" si="12"/>
        <v>883.10581985235387</v>
      </c>
      <c r="U155" s="249"/>
      <c r="V155">
        <f t="shared" si="13"/>
        <v>0</v>
      </c>
      <c r="W155" s="916"/>
      <c r="X155" s="235">
        <f>SUM(V155:V163)/($B$135-B154)</f>
        <v>0</v>
      </c>
      <c r="Y155" s="943">
        <f>SUM(D139:D155)+$C$138</f>
        <v>17</v>
      </c>
      <c r="Z155" s="898">
        <f t="shared" si="21"/>
        <v>58.499008599999996</v>
      </c>
      <c r="AA155" s="906">
        <f t="shared" si="14"/>
        <v>0.85263112333231494</v>
      </c>
      <c r="AB155" s="289">
        <f t="shared" si="22"/>
        <v>247.81115503136576</v>
      </c>
      <c r="AC155" s="908">
        <f t="shared" si="23"/>
        <v>74.181912400000002</v>
      </c>
      <c r="AD155" s="906">
        <f t="shared" si="24"/>
        <v>0.96213198992991489</v>
      </c>
      <c r="AE155" s="911">
        <f t="shared" si="25"/>
        <v>241.56553059437579</v>
      </c>
      <c r="AF155" s="906">
        <f t="shared" si="31"/>
        <v>-468.8</v>
      </c>
      <c r="AG155" s="944">
        <f t="shared" si="26"/>
        <v>489.37668562574152</v>
      </c>
      <c r="AH155" s="254">
        <f t="shared" si="33"/>
        <v>-241.56553059437579</v>
      </c>
      <c r="AI155" s="254">
        <f t="shared" si="32"/>
        <v>241.56553059437579</v>
      </c>
      <c r="AJ155" s="254">
        <f t="shared" si="27"/>
        <v>-237.39150820018841</v>
      </c>
      <c r="AK155" s="255">
        <f t="shared" si="28"/>
        <v>-231.40849179981157</v>
      </c>
      <c r="AL155" s="255">
        <f t="shared" si="15"/>
        <v>-48.864426903669646</v>
      </c>
      <c r="AM155" s="240">
        <f t="shared" si="16"/>
        <v>-43.213625922815609</v>
      </c>
      <c r="AN155" s="241">
        <f t="shared" si="29"/>
        <v>48.864426903669646</v>
      </c>
      <c r="AO155" s="242">
        <f t="shared" si="29"/>
        <v>43.213625922815609</v>
      </c>
      <c r="AP155" s="242"/>
      <c r="BB155" s="197"/>
      <c r="BC155" s="197"/>
      <c r="BD155" s="197"/>
    </row>
    <row r="156" spans="1:56" ht="20" thickBot="1" x14ac:dyDescent="0.35">
      <c r="B156" s="244">
        <v>19</v>
      </c>
      <c r="C156" s="245"/>
      <c r="D156" s="16">
        <v>1</v>
      </c>
      <c r="E156" s="234" t="s">
        <v>215</v>
      </c>
      <c r="F156" s="235" t="str">
        <f t="shared" si="17"/>
        <v>use the locking pin</v>
      </c>
      <c r="G156" s="884">
        <f t="shared" si="18"/>
        <v>1</v>
      </c>
      <c r="H156" s="888">
        <v>251.073172</v>
      </c>
      <c r="I156" s="889">
        <v>65.636175100000003</v>
      </c>
      <c r="J156" s="74">
        <f t="shared" si="19"/>
        <v>64.636175100000003</v>
      </c>
      <c r="K156" s="74">
        <f t="shared" si="6"/>
        <v>32.318087550000001</v>
      </c>
      <c r="L156" s="74">
        <f t="shared" si="7"/>
        <v>0.53461916118589337</v>
      </c>
      <c r="M156" s="74">
        <f t="shared" si="8"/>
        <v>134.22852861092153</v>
      </c>
      <c r="N156" s="74">
        <f t="shared" si="9"/>
        <v>268.45705722184306</v>
      </c>
      <c r="O156" s="74">
        <f>+C138+D139+D140+D141+D142+D143+D144+D145+D146+D147+D148+D149+D150+D151+D152+D153+D154+D155+(D156/2)</f>
        <v>17.5</v>
      </c>
      <c r="P156" s="74">
        <f t="shared" si="10"/>
        <v>0.30070579950427284</v>
      </c>
      <c r="Q156" s="74">
        <f t="shared" si="11"/>
        <v>80.726594024458635</v>
      </c>
      <c r="R156" s="74">
        <f t="shared" si="20"/>
        <v>883.10581985235387</v>
      </c>
      <c r="S156" s="74">
        <f t="shared" si="30"/>
        <v>963.83241387681255</v>
      </c>
      <c r="T156" s="74">
        <f t="shared" si="12"/>
        <v>963.83241387681255</v>
      </c>
      <c r="U156" s="249"/>
      <c r="V156">
        <f t="shared" si="13"/>
        <v>0</v>
      </c>
      <c r="W156" s="916"/>
      <c r="X156" s="235">
        <f>SUM(V156:V163)/($B$135-B155)</f>
        <v>0</v>
      </c>
      <c r="Y156" s="943">
        <f>SUM(D139:D156)+$C$138</f>
        <v>18</v>
      </c>
      <c r="Z156" s="898">
        <f t="shared" si="21"/>
        <v>57.499008599999996</v>
      </c>
      <c r="AA156" s="906">
        <f t="shared" si="14"/>
        <v>0.84338214868716044</v>
      </c>
      <c r="AB156" s="289">
        <f t="shared" si="22"/>
        <v>245.12300651443877</v>
      </c>
      <c r="AC156" s="908">
        <f t="shared" si="23"/>
        <v>75.181912400000002</v>
      </c>
      <c r="AD156" s="906">
        <f t="shared" si="24"/>
        <v>0.96674269922463818</v>
      </c>
      <c r="AE156" s="911">
        <f t="shared" si="25"/>
        <v>242.72315600217186</v>
      </c>
      <c r="AF156" s="906">
        <f t="shared" si="31"/>
        <v>-498.1</v>
      </c>
      <c r="AG156" s="944">
        <f t="shared" si="26"/>
        <v>487.84616251661066</v>
      </c>
      <c r="AH156" s="254">
        <f t="shared" si="33"/>
        <v>-242.72315600217186</v>
      </c>
      <c r="AI156" s="254">
        <f t="shared" si="32"/>
        <v>242.72315600217186</v>
      </c>
      <c r="AJ156" s="254">
        <f t="shared" si="27"/>
        <v>-250.27514599068869</v>
      </c>
      <c r="AK156" s="255">
        <f t="shared" si="28"/>
        <v>-247.82485400931134</v>
      </c>
      <c r="AL156" s="255">
        <f t="shared" si="15"/>
        <v>-46.348989045966114</v>
      </c>
      <c r="AM156" s="240">
        <f t="shared" si="16"/>
        <v>-40.351077941618712</v>
      </c>
      <c r="AN156" s="241">
        <f t="shared" si="29"/>
        <v>46.348989045966114</v>
      </c>
      <c r="AO156" s="242">
        <f t="shared" si="29"/>
        <v>40.351077941618712</v>
      </c>
      <c r="AP156" s="242"/>
      <c r="BB156" s="197"/>
      <c r="BC156" s="197"/>
      <c r="BD156" s="197"/>
    </row>
    <row r="157" spans="1:56" ht="20" thickBot="1" x14ac:dyDescent="0.35">
      <c r="B157" s="244">
        <v>20</v>
      </c>
      <c r="C157" s="245"/>
      <c r="D157" s="16">
        <v>1</v>
      </c>
      <c r="E157" s="234" t="s">
        <v>215</v>
      </c>
      <c r="F157" s="248" t="str">
        <f t="shared" si="17"/>
        <v>use the locking pin</v>
      </c>
      <c r="G157" s="884">
        <f t="shared" si="18"/>
        <v>1</v>
      </c>
      <c r="H157" s="888">
        <v>251.073172</v>
      </c>
      <c r="I157" s="889">
        <v>65.636175100000003</v>
      </c>
      <c r="J157" s="74">
        <f t="shared" si="19"/>
        <v>64.636175100000003</v>
      </c>
      <c r="K157" s="74">
        <f t="shared" si="6"/>
        <v>32.318087550000001</v>
      </c>
      <c r="L157" s="74">
        <f t="shared" si="7"/>
        <v>0.53461916118589337</v>
      </c>
      <c r="M157" s="74">
        <f t="shared" si="8"/>
        <v>134.22852861092153</v>
      </c>
      <c r="N157" s="74">
        <f t="shared" si="9"/>
        <v>268.45705722184306</v>
      </c>
      <c r="O157" s="74">
        <f>+C138+D139+D140+D141+D142+D143+D144+D145+D146+D147+D148+D149+D150+D151+D152+D153+D154+D155+D156+(D157/2)</f>
        <v>18.5</v>
      </c>
      <c r="P157">
        <f t="shared" si="10"/>
        <v>0.31730465640509181</v>
      </c>
      <c r="Q157" s="74">
        <f t="shared" si="11"/>
        <v>85.182674301298988</v>
      </c>
      <c r="R157" s="74">
        <f t="shared" si="20"/>
        <v>963.83241387681255</v>
      </c>
      <c r="S157" s="74">
        <f t="shared" si="30"/>
        <v>1049.0150881781115</v>
      </c>
      <c r="T157" s="74">
        <f t="shared" si="12"/>
        <v>1049.0150881781115</v>
      </c>
      <c r="U157" s="249"/>
      <c r="V157">
        <f t="shared" si="13"/>
        <v>0</v>
      </c>
      <c r="W157" s="916"/>
      <c r="X157" s="235">
        <f>SUM(V157:V163)/($B$135-B156)</f>
        <v>0</v>
      </c>
      <c r="Y157" s="943">
        <f>SUM(D139:D157)+$C$138</f>
        <v>19</v>
      </c>
      <c r="Z157" s="898">
        <f t="shared" si="21"/>
        <v>56.499008599999996</v>
      </c>
      <c r="AA157" s="906">
        <f t="shared" si="14"/>
        <v>0.83387627166948974</v>
      </c>
      <c r="AB157" s="289">
        <f t="shared" si="22"/>
        <v>242.36019115516766</v>
      </c>
      <c r="AC157" s="908">
        <f t="shared" si="23"/>
        <v>76.181912400000002</v>
      </c>
      <c r="AD157" s="906">
        <f t="shared" si="24"/>
        <v>0.97105892932813076</v>
      </c>
      <c r="AE157" s="911">
        <f t="shared" si="25"/>
        <v>243.80684558533761</v>
      </c>
      <c r="AF157" s="906">
        <f t="shared" si="31"/>
        <v>-527.4</v>
      </c>
      <c r="AG157" s="944">
        <f t="shared" si="26"/>
        <v>486.1670367405053</v>
      </c>
      <c r="AH157" s="254">
        <f t="shared" si="33"/>
        <v>-243.80684558533761</v>
      </c>
      <c r="AI157" s="254">
        <f t="shared" si="32"/>
        <v>243.80684558533761</v>
      </c>
      <c r="AJ157" s="254">
        <f t="shared" si="27"/>
        <v>-262.91532571234472</v>
      </c>
      <c r="AK157" s="255">
        <f t="shared" si="28"/>
        <v>-264.48467428765525</v>
      </c>
      <c r="AL157" s="255">
        <f t="shared" si="15"/>
        <v>-44.120668768817012</v>
      </c>
      <c r="AM157" s="240">
        <f t="shared" si="16"/>
        <v>-37.809374123220216</v>
      </c>
      <c r="AN157" s="241">
        <f t="shared" si="29"/>
        <v>44.120668768817012</v>
      </c>
      <c r="AO157" s="242">
        <f t="shared" si="29"/>
        <v>37.809374123220216</v>
      </c>
      <c r="AP157" s="242"/>
      <c r="BB157" s="197"/>
      <c r="BC157" s="197"/>
      <c r="BD157" s="197"/>
    </row>
    <row r="158" spans="1:56" ht="20" thickBot="1" x14ac:dyDescent="0.35">
      <c r="B158" s="244">
        <v>21</v>
      </c>
      <c r="C158" s="890"/>
      <c r="D158" s="16">
        <v>1</v>
      </c>
      <c r="E158" s="234" t="s">
        <v>215</v>
      </c>
      <c r="F158" s="248" t="str">
        <f t="shared" si="17"/>
        <v>use the locking pin</v>
      </c>
      <c r="G158" s="884">
        <f t="shared" si="18"/>
        <v>1</v>
      </c>
      <c r="H158" s="888">
        <v>251.073172</v>
      </c>
      <c r="I158" s="889">
        <v>65.636175100000003</v>
      </c>
      <c r="J158" s="74">
        <f t="shared" si="19"/>
        <v>64.636175100000003</v>
      </c>
      <c r="K158" s="74">
        <f t="shared" si="6"/>
        <v>32.318087550000001</v>
      </c>
      <c r="L158">
        <f t="shared" si="7"/>
        <v>0.53461916118589337</v>
      </c>
      <c r="M158" s="74">
        <f t="shared" si="8"/>
        <v>134.22852861092153</v>
      </c>
      <c r="N158" s="74">
        <f t="shared" si="9"/>
        <v>268.45705722184306</v>
      </c>
      <c r="O158" s="74">
        <f>+C138+D139+D140+D141+D142+D143+D144+D145+D146+D147+D148+D149+D150+D151+D152+D153+D154+D155+D156+D157+(D158/2)</f>
        <v>19.5</v>
      </c>
      <c r="P158" s="982">
        <f t="shared" si="10"/>
        <v>0.33380685923377057</v>
      </c>
      <c r="Q158" s="74">
        <f t="shared" si="11"/>
        <v>89.612807110364059</v>
      </c>
      <c r="R158" s="74">
        <f t="shared" si="20"/>
        <v>1049.0150881781115</v>
      </c>
      <c r="S158" s="74">
        <f t="shared" si="30"/>
        <v>1138.6278952884754</v>
      </c>
      <c r="T158" s="74">
        <f t="shared" si="12"/>
        <v>1138.6278952884754</v>
      </c>
      <c r="U158" s="249"/>
      <c r="V158">
        <f t="shared" si="13"/>
        <v>0</v>
      </c>
      <c r="W158" s="916"/>
      <c r="X158" s="235">
        <f>SUM(V158:V163)/($B$135-B157)</f>
        <v>0</v>
      </c>
      <c r="Y158" s="943">
        <f>SUM(D139:D158)+$C$138</f>
        <v>20</v>
      </c>
      <c r="Z158" s="250">
        <f t="shared" si="21"/>
        <v>55.499008599999996</v>
      </c>
      <c r="AA158" s="906">
        <f t="shared" si="14"/>
        <v>0.82411638786152763</v>
      </c>
      <c r="AB158" s="289">
        <f t="shared" si="22"/>
        <v>239.52355053387478</v>
      </c>
      <c r="AC158" s="908">
        <f t="shared" si="23"/>
        <v>77.181912400000002</v>
      </c>
      <c r="AD158" s="906">
        <f t="shared" si="24"/>
        <v>0.97507936547489105</v>
      </c>
      <c r="AE158" s="911">
        <f t="shared" si="25"/>
        <v>244.81626924152818</v>
      </c>
      <c r="AF158" s="906">
        <f t="shared" si="31"/>
        <v>-556.70000000000005</v>
      </c>
      <c r="AG158" s="944">
        <f t="shared" si="26"/>
        <v>484.33981977540293</v>
      </c>
      <c r="AH158" s="254">
        <f t="shared" si="33"/>
        <v>-244.81626924152818</v>
      </c>
      <c r="AI158" s="254">
        <f t="shared" si="32"/>
        <v>244.81626924152818</v>
      </c>
      <c r="AJ158" s="254">
        <f t="shared" si="27"/>
        <v>-275.30827559055854</v>
      </c>
      <c r="AK158" s="255">
        <f t="shared" si="28"/>
        <v>-281.39172440944151</v>
      </c>
      <c r="AL158" s="255">
        <f t="shared" si="15"/>
        <v>-42.134585221301691</v>
      </c>
      <c r="AM158" s="240">
        <f t="shared" si="16"/>
        <v>-35.537647814579692</v>
      </c>
      <c r="AN158" s="241">
        <f t="shared" si="29"/>
        <v>42.134585221301691</v>
      </c>
      <c r="AO158" s="242">
        <f t="shared" si="29"/>
        <v>35.537647814579692</v>
      </c>
      <c r="AP158" s="242"/>
      <c r="BB158" s="197"/>
      <c r="BC158" s="197"/>
      <c r="BD158" s="197"/>
    </row>
    <row r="159" spans="1:56" ht="20" thickBot="1" x14ac:dyDescent="0.35">
      <c r="B159" s="244">
        <v>22</v>
      </c>
      <c r="C159" s="890"/>
      <c r="D159" s="16">
        <v>1</v>
      </c>
      <c r="E159" s="234" t="s">
        <v>215</v>
      </c>
      <c r="F159" s="248" t="str">
        <f t="shared" si="17"/>
        <v>use the locking pin</v>
      </c>
      <c r="G159" s="884">
        <f t="shared" si="18"/>
        <v>1</v>
      </c>
      <c r="H159" s="888">
        <v>251.073172</v>
      </c>
      <c r="I159" s="889">
        <v>65.636175100000003</v>
      </c>
      <c r="J159" s="74">
        <f t="shared" si="19"/>
        <v>64.636175100000003</v>
      </c>
      <c r="K159" s="74">
        <f t="shared" si="6"/>
        <v>32.318087550000001</v>
      </c>
      <c r="L159">
        <f t="shared" si="7"/>
        <v>0.53461916118589337</v>
      </c>
      <c r="M159" s="74">
        <f t="shared" si="8"/>
        <v>134.22852861092153</v>
      </c>
      <c r="N159" s="74">
        <f t="shared" si="9"/>
        <v>268.45705722184306</v>
      </c>
      <c r="O159" s="74">
        <f>+C138+D139+D140+D141+D142+D143+D144+D145+D146+D147+D148+D149+D150+D151+D152+D153+D154+D155+D156+D157+D158+(D159/2)</f>
        <v>20.5</v>
      </c>
      <c r="P159" s="982">
        <f t="shared" si="10"/>
        <v>0.35020738125946715</v>
      </c>
      <c r="Q159" s="74">
        <f t="shared" si="11"/>
        <v>94.015642990284576</v>
      </c>
      <c r="R159" s="74">
        <f t="shared" si="20"/>
        <v>1138.6278952884754</v>
      </c>
      <c r="S159" s="74">
        <f t="shared" si="30"/>
        <v>1232.6435382787599</v>
      </c>
      <c r="T159" s="74">
        <f t="shared" si="12"/>
        <v>1232.6435382787599</v>
      </c>
      <c r="U159" s="249"/>
      <c r="V159">
        <f t="shared" si="13"/>
        <v>0</v>
      </c>
      <c r="W159" s="916"/>
      <c r="X159" s="235">
        <f>SUM(V159:V163)/($B$135-B158)</f>
        <v>0</v>
      </c>
      <c r="Y159" s="943">
        <f>SUM(D139:D159)+$C$138</f>
        <v>21</v>
      </c>
      <c r="Z159" s="250">
        <f t="shared" si="21"/>
        <v>54.499008599999996</v>
      </c>
      <c r="AA159" s="906">
        <f t="shared" si="14"/>
        <v>0.81410547021842816</v>
      </c>
      <c r="AB159" s="289">
        <f t="shared" si="22"/>
        <v>236.61394871877258</v>
      </c>
      <c r="AC159" s="908">
        <f t="shared" si="23"/>
        <v>78.181912400000002</v>
      </c>
      <c r="AD159" s="906">
        <f t="shared" si="24"/>
        <v>0.97880278300112167</v>
      </c>
      <c r="AE159" s="911">
        <f t="shared" si="25"/>
        <v>245.7511194905193</v>
      </c>
      <c r="AF159" s="906">
        <f t="shared" si="31"/>
        <v>-586</v>
      </c>
      <c r="AG159" s="944">
        <f t="shared" si="26"/>
        <v>482.36506820929185</v>
      </c>
      <c r="AH159" s="254">
        <f t="shared" si="33"/>
        <v>-245.7511194905193</v>
      </c>
      <c r="AI159" s="254">
        <f t="shared" si="32"/>
        <v>245.7511194905193</v>
      </c>
      <c r="AJ159" s="254">
        <f t="shared" si="27"/>
        <v>-287.44986543892895</v>
      </c>
      <c r="AK159" s="255">
        <f t="shared" si="28"/>
        <v>-298.55013456107105</v>
      </c>
      <c r="AL159" s="255">
        <f t="shared" si="15"/>
        <v>-40.354863211666782</v>
      </c>
      <c r="AM159" s="240">
        <f t="shared" si="16"/>
        <v>-33.49521183335596</v>
      </c>
      <c r="AN159" s="241">
        <f t="shared" ref="AN159:AO163" si="35">ABS(AL159)</f>
        <v>40.354863211666782</v>
      </c>
      <c r="AO159" s="242">
        <f t="shared" si="35"/>
        <v>33.49521183335596</v>
      </c>
      <c r="AP159" s="242"/>
      <c r="BB159" s="197"/>
      <c r="BC159" s="197"/>
      <c r="BD159" s="197"/>
    </row>
    <row r="160" spans="1:56" ht="20" thickBot="1" x14ac:dyDescent="0.35">
      <c r="B160" s="244">
        <v>23</v>
      </c>
      <c r="C160" s="890"/>
      <c r="D160" s="16">
        <v>1</v>
      </c>
      <c r="E160" s="234" t="s">
        <v>215</v>
      </c>
      <c r="F160" s="248" t="str">
        <f t="shared" si="17"/>
        <v>use the locking pin</v>
      </c>
      <c r="G160" s="884">
        <f t="shared" si="18"/>
        <v>1</v>
      </c>
      <c r="H160" s="888">
        <v>251.073172</v>
      </c>
      <c r="I160" s="889">
        <v>65.636175100000003</v>
      </c>
      <c r="J160" s="74">
        <f t="shared" si="19"/>
        <v>64.636175100000003</v>
      </c>
      <c r="K160" s="74">
        <f t="shared" si="6"/>
        <v>32.318087550000001</v>
      </c>
      <c r="L160">
        <f t="shared" si="7"/>
        <v>0.53461916118589337</v>
      </c>
      <c r="M160" s="74">
        <f t="shared" si="8"/>
        <v>134.22852861092153</v>
      </c>
      <c r="N160" s="74">
        <f t="shared" si="9"/>
        <v>268.45705722184306</v>
      </c>
      <c r="O160" s="74">
        <f>+C138+D139+D140+D141+D142+D143+D144+D145+D146+D147+D148+D149+D150+D151+D152+D153+D154+D155+D156+D157+D158+D159+(D160/2)</f>
        <v>21.5</v>
      </c>
      <c r="P160" s="982">
        <f t="shared" si="10"/>
        <v>0.36650122672429686</v>
      </c>
      <c r="Q160" s="74">
        <f t="shared" si="11"/>
        <v>98.389840794600232</v>
      </c>
      <c r="R160" s="74">
        <f t="shared" si="20"/>
        <v>1232.6435382787599</v>
      </c>
      <c r="S160" s="74">
        <f t="shared" si="30"/>
        <v>1331.0333790733603</v>
      </c>
      <c r="T160" s="74">
        <f t="shared" si="12"/>
        <v>1331.0333790733603</v>
      </c>
      <c r="U160" s="249"/>
      <c r="V160">
        <f t="shared" si="13"/>
        <v>0</v>
      </c>
      <c r="W160" s="916"/>
      <c r="X160" s="235">
        <f>SUM(V160:V163)/($B$135-B159)</f>
        <v>0</v>
      </c>
      <c r="Y160" s="943">
        <f>SUM(D139:D160)+$C$138</f>
        <v>22</v>
      </c>
      <c r="Z160" s="250">
        <f t="shared" si="21"/>
        <v>53.499008599999996</v>
      </c>
      <c r="AA160" s="906">
        <f t="shared" si="14"/>
        <v>0.80384656816268329</v>
      </c>
      <c r="AB160" s="289">
        <f t="shared" si="22"/>
        <v>233.63227200275978</v>
      </c>
      <c r="AC160" s="908">
        <f t="shared" si="23"/>
        <v>79.181912400000002</v>
      </c>
      <c r="AD160" s="906">
        <f t="shared" si="24"/>
        <v>0.98222804771777472</v>
      </c>
      <c r="AE160" s="911">
        <f t="shared" si="25"/>
        <v>246.61111156786907</v>
      </c>
      <c r="AF160" s="906">
        <f t="shared" si="31"/>
        <v>-615.30000000000007</v>
      </c>
      <c r="AG160" s="944">
        <f t="shared" si="26"/>
        <v>480.24338357062885</v>
      </c>
      <c r="AH160" s="254">
        <f t="shared" si="33"/>
        <v>-246.61111156786907</v>
      </c>
      <c r="AI160" s="254">
        <f t="shared" si="32"/>
        <v>246.61111156786907</v>
      </c>
      <c r="AJ160" s="254">
        <f t="shared" si="27"/>
        <v>-299.33559082996999</v>
      </c>
      <c r="AK160" s="255">
        <f t="shared" si="28"/>
        <v>-315.96440917003008</v>
      </c>
      <c r="AL160" s="255">
        <f t="shared" si="15"/>
        <v>-38.752491702829573</v>
      </c>
      <c r="AM160" s="240">
        <f t="shared" si="16"/>
        <v>-31.649134237200414</v>
      </c>
      <c r="AN160" s="241">
        <f t="shared" si="35"/>
        <v>38.752491702829573</v>
      </c>
      <c r="AO160" s="242">
        <f t="shared" si="35"/>
        <v>31.649134237200414</v>
      </c>
      <c r="AP160" s="242"/>
      <c r="BB160" s="197"/>
      <c r="BC160" s="197"/>
      <c r="BD160" s="197"/>
    </row>
    <row r="161" spans="2:56" ht="21" thickBot="1" x14ac:dyDescent="0.35">
      <c r="B161" s="244">
        <v>24</v>
      </c>
      <c r="C161" s="891"/>
      <c r="D161" s="16">
        <v>1</v>
      </c>
      <c r="E161" s="234" t="s">
        <v>215</v>
      </c>
      <c r="F161" s="248" t="str">
        <f t="shared" si="17"/>
        <v>use the locking pin</v>
      </c>
      <c r="G161" s="884">
        <f t="shared" si="18"/>
        <v>1</v>
      </c>
      <c r="H161" s="888">
        <v>251.073172</v>
      </c>
      <c r="I161" s="889">
        <v>65.636175100000003</v>
      </c>
      <c r="J161" s="74">
        <f t="shared" si="19"/>
        <v>64.636175100000003</v>
      </c>
      <c r="K161" s="74">
        <f t="shared" si="6"/>
        <v>32.318087550000001</v>
      </c>
      <c r="L161">
        <f t="shared" si="7"/>
        <v>0.53461916118589337</v>
      </c>
      <c r="M161" s="74">
        <f t="shared" si="8"/>
        <v>134.22852861092153</v>
      </c>
      <c r="N161" s="74">
        <f t="shared" si="9"/>
        <v>268.45705722184306</v>
      </c>
      <c r="O161" s="74">
        <f>+C138+D139+D140+D141+D142+D143+D144+D145+D146+D147+D148+D149+D150+D151+D152+D153+D154+D155+D156+D157+D158+D159+D160+(D161/2)</f>
        <v>22.5</v>
      </c>
      <c r="P161" s="982">
        <f t="shared" si="10"/>
        <v>0.38268343236508939</v>
      </c>
      <c r="Q161" s="74">
        <f t="shared" si="11"/>
        <v>102.73406810028611</v>
      </c>
      <c r="R161" s="74">
        <f t="shared" si="20"/>
        <v>1331.0333790733603</v>
      </c>
      <c r="S161" s="74">
        <f t="shared" si="30"/>
        <v>1433.7674471736464</v>
      </c>
      <c r="T161" s="74">
        <f t="shared" si="12"/>
        <v>1433.7674471736464</v>
      </c>
      <c r="U161" s="249"/>
      <c r="V161">
        <f t="shared" si="13"/>
        <v>0</v>
      </c>
      <c r="W161" s="916"/>
      <c r="X161" s="235">
        <f>SUM(V161:V163)/($B$135-B160)</f>
        <v>0</v>
      </c>
      <c r="Y161" s="943">
        <f>SUM(D139:D161)+$C$138</f>
        <v>23</v>
      </c>
      <c r="Z161" s="250">
        <f t="shared" si="21"/>
        <v>52.499008599999996</v>
      </c>
      <c r="AA161" s="906">
        <f t="shared" si="14"/>
        <v>0.79334280665523971</v>
      </c>
      <c r="AB161" s="289">
        <f t="shared" si="22"/>
        <v>230.57942863344837</v>
      </c>
      <c r="AC161" s="908">
        <f t="shared" si="23"/>
        <v>80.181912400000002</v>
      </c>
      <c r="AD161" s="906">
        <f t="shared" si="24"/>
        <v>0.98535411625603619</v>
      </c>
      <c r="AE161" s="911">
        <f t="shared" si="25"/>
        <v>247.39598351165978</v>
      </c>
      <c r="AF161" s="906">
        <f t="shared" si="31"/>
        <v>-644.6</v>
      </c>
      <c r="AG161" s="944">
        <f t="shared" si="26"/>
        <v>477.97541214510818</v>
      </c>
      <c r="AH161" s="254">
        <f t="shared" si="33"/>
        <v>-247.39598351165978</v>
      </c>
      <c r="AI161" s="254">
        <f t="shared" si="32"/>
        <v>247.39598351165978</v>
      </c>
      <c r="AJ161" s="254">
        <f t="shared" si="27"/>
        <v>-310.96055554422105</v>
      </c>
      <c r="AK161" s="255">
        <f t="shared" si="28"/>
        <v>-333.63944445577897</v>
      </c>
      <c r="AL161" s="255">
        <f t="shared" si="15"/>
        <v>-37.303766645575045</v>
      </c>
      <c r="AM161" s="240">
        <f t="shared" si="16"/>
        <v>-29.972475275852503</v>
      </c>
      <c r="AN161" s="241">
        <f t="shared" si="35"/>
        <v>37.303766645575045</v>
      </c>
      <c r="AO161" s="242">
        <f t="shared" si="35"/>
        <v>29.972475275852503</v>
      </c>
      <c r="AP161" s="242"/>
      <c r="AT161" s="119"/>
      <c r="AU161" s="119"/>
      <c r="AV161" s="259" t="s">
        <v>107</v>
      </c>
      <c r="AW161" s="119"/>
      <c r="AX161" s="119"/>
      <c r="AY161" s="119"/>
      <c r="AZ161" s="119"/>
      <c r="BA161" s="119"/>
      <c r="BB161" s="197"/>
      <c r="BC161" s="197"/>
      <c r="BD161" s="197"/>
    </row>
    <row r="162" spans="2:56" ht="21" thickBot="1" x14ac:dyDescent="0.35">
      <c r="B162" s="244">
        <v>25</v>
      </c>
      <c r="C162" s="892"/>
      <c r="D162" s="16">
        <v>1</v>
      </c>
      <c r="E162" s="234" t="s">
        <v>215</v>
      </c>
      <c r="F162" s="248" t="str">
        <f t="shared" si="17"/>
        <v>use the locking pin</v>
      </c>
      <c r="G162" s="884">
        <f t="shared" si="18"/>
        <v>1</v>
      </c>
      <c r="H162" s="888">
        <v>251.073172</v>
      </c>
      <c r="I162" s="889">
        <v>65.636175100000003</v>
      </c>
      <c r="J162" s="74">
        <f t="shared" si="19"/>
        <v>64.636175100000003</v>
      </c>
      <c r="K162" s="74">
        <f t="shared" si="6"/>
        <v>32.318087550000001</v>
      </c>
      <c r="L162">
        <f t="shared" si="7"/>
        <v>0.53461916118589337</v>
      </c>
      <c r="M162" s="74">
        <f t="shared" si="8"/>
        <v>134.22852861092153</v>
      </c>
      <c r="N162" s="74">
        <f t="shared" si="9"/>
        <v>268.45705722184306</v>
      </c>
      <c r="O162" s="74">
        <f>+C138+D139+D140+D141+D142+D143+D144+D145+D146+D147+D148+D149+D150+D151+D152+D153+D154+D155+D156+D157+D158+D159+D160+D161+(D162/2)</f>
        <v>23.5</v>
      </c>
      <c r="P162" s="982">
        <f t="shared" si="10"/>
        <v>0.39874906892524581</v>
      </c>
      <c r="Q162" s="74">
        <f t="shared" si="11"/>
        <v>107.04700161362136</v>
      </c>
      <c r="R162" s="74">
        <f t="shared" si="20"/>
        <v>1433.7674471736464</v>
      </c>
      <c r="S162" s="74">
        <f t="shared" si="30"/>
        <v>1540.8144487872678</v>
      </c>
      <c r="T162" s="74">
        <f t="shared" si="12"/>
        <v>1540.8144487872678</v>
      </c>
      <c r="U162" s="249"/>
      <c r="V162">
        <f t="shared" si="13"/>
        <v>0</v>
      </c>
      <c r="W162" s="916"/>
      <c r="X162" s="235">
        <f>SUM(V162:V163)/($B$135-B161)</f>
        <v>0</v>
      </c>
      <c r="Y162" s="943">
        <f>SUM(D139:D162)+$C$138</f>
        <v>24</v>
      </c>
      <c r="Z162" s="250">
        <f t="shared" si="21"/>
        <v>51.499008599999996</v>
      </c>
      <c r="AA162" s="906">
        <f t="shared" si="14"/>
        <v>0.78259738524360445</v>
      </c>
      <c r="AB162" s="289">
        <f t="shared" si="22"/>
        <v>227.45634853650211</v>
      </c>
      <c r="AC162" s="908">
        <f t="shared" si="23"/>
        <v>81.181912400000002</v>
      </c>
      <c r="AD162" s="906">
        <f t="shared" si="24"/>
        <v>0.9881800363851464</v>
      </c>
      <c r="AE162" s="911">
        <f t="shared" si="25"/>
        <v>248.10549624229412</v>
      </c>
      <c r="AF162" s="906">
        <f t="shared" si="31"/>
        <v>-673.9</v>
      </c>
      <c r="AG162" s="944">
        <f t="shared" si="26"/>
        <v>475.56184477879623</v>
      </c>
      <c r="AH162" s="254">
        <f t="shared" si="33"/>
        <v>-248.10549624229412</v>
      </c>
      <c r="AI162" s="254">
        <f t="shared" si="32"/>
        <v>248.10549624229412</v>
      </c>
      <c r="AJ162" s="254">
        <f t="shared" si="27"/>
        <v>-322.3194521630453</v>
      </c>
      <c r="AK162" s="255">
        <f t="shared" si="28"/>
        <v>-351.58054783695474</v>
      </c>
      <c r="AL162" s="255">
        <f t="shared" si="15"/>
        <v>-35.989140345560465</v>
      </c>
      <c r="AM162" s="240">
        <f t="shared" si="16"/>
        <v>-28.44298429342426</v>
      </c>
      <c r="AN162" s="241">
        <f t="shared" si="35"/>
        <v>35.989140345560465</v>
      </c>
      <c r="AO162" s="242">
        <f t="shared" si="35"/>
        <v>28.44298429342426</v>
      </c>
      <c r="AP162" s="242"/>
      <c r="AT162" s="260">
        <v>1</v>
      </c>
      <c r="AU162" s="261">
        <v>-473</v>
      </c>
      <c r="AV162" s="262">
        <f>+COS(($B$132*-1)*3.14159265358979/180)*AU162</f>
        <v>-473</v>
      </c>
      <c r="AW162" s="263">
        <f t="shared" ref="AW162:AW198" si="36">+AV162-D$3</f>
        <v>-642.7944616070439</v>
      </c>
      <c r="AX162" s="264">
        <f t="shared" ref="AX162:AX198" si="37">ABS(AW162)</f>
        <v>642.7944616070439</v>
      </c>
      <c r="AY162" s="265">
        <f>MIN(AX162:AX198)</f>
        <v>2.2055383929561287</v>
      </c>
      <c r="AZ162" s="264" t="b">
        <f>IF(AY162=AX162,AT162)</f>
        <v>0</v>
      </c>
      <c r="BA162" s="266">
        <v>1</v>
      </c>
      <c r="BB162" s="197"/>
      <c r="BC162" s="197"/>
      <c r="BD162" s="197"/>
    </row>
    <row r="163" spans="2:56" ht="21" thickBot="1" x14ac:dyDescent="0.35">
      <c r="B163" s="244">
        <v>26</v>
      </c>
      <c r="C163" s="892"/>
      <c r="D163" s="16">
        <v>1</v>
      </c>
      <c r="E163" s="234" t="s">
        <v>215</v>
      </c>
      <c r="F163" s="248" t="str">
        <f t="shared" si="17"/>
        <v>use the locking pin</v>
      </c>
      <c r="G163" s="884">
        <f t="shared" si="18"/>
        <v>1</v>
      </c>
      <c r="H163" s="888">
        <v>251.073172</v>
      </c>
      <c r="I163" s="889">
        <v>65.636175100000003</v>
      </c>
      <c r="J163" s="74">
        <f t="shared" si="19"/>
        <v>64.636175100000003</v>
      </c>
      <c r="K163" s="74">
        <f t="shared" si="6"/>
        <v>32.318087550000001</v>
      </c>
      <c r="L163">
        <f t="shared" si="7"/>
        <v>0.53461916118589337</v>
      </c>
      <c r="M163" s="74">
        <f t="shared" si="8"/>
        <v>134.22852861092153</v>
      </c>
      <c r="N163" s="74">
        <f t="shared" si="9"/>
        <v>268.45705722184306</v>
      </c>
      <c r="O163" s="74">
        <f>+C138+D139+D140+D141+D142+D143+D144+D145+D146+D147+D148+D149+D150+D151+D152+D153+D154+D155+D156+D157+D158+D159+D160+D161+D162+(D163/2)</f>
        <v>24.5</v>
      </c>
      <c r="P163" s="982">
        <f t="shared" si="10"/>
        <v>0.41469324265623864</v>
      </c>
      <c r="Q163" s="74">
        <f t="shared" si="11"/>
        <v>111.3273275732775</v>
      </c>
      <c r="R163" s="74">
        <f t="shared" si="20"/>
        <v>1540.8144487872678</v>
      </c>
      <c r="S163" s="74">
        <f t="shared" si="30"/>
        <v>1652.1417763605452</v>
      </c>
      <c r="T163" s="74">
        <f t="shared" si="12"/>
        <v>1652.1417763605452</v>
      </c>
      <c r="U163" s="249"/>
      <c r="V163">
        <f t="shared" si="13"/>
        <v>0</v>
      </c>
      <c r="W163" s="916"/>
      <c r="X163" s="235">
        <f>SUM(V163)/($B$135-B162)</f>
        <v>0</v>
      </c>
      <c r="Y163" s="943">
        <f>SUM(D139:D163)+$C$138</f>
        <v>25</v>
      </c>
      <c r="Z163" s="250">
        <f t="shared" si="21"/>
        <v>50.499008599999996</v>
      </c>
      <c r="AA163" s="906">
        <f t="shared" si="14"/>
        <v>0.77161357708723288</v>
      </c>
      <c r="AB163" s="289">
        <f t="shared" si="22"/>
        <v>224.26398303237247</v>
      </c>
      <c r="AC163" s="908">
        <f t="shared" si="23"/>
        <v>82.181912400000002</v>
      </c>
      <c r="AD163" s="906">
        <f t="shared" si="24"/>
        <v>0.99070494730245873</v>
      </c>
      <c r="AE163" s="911">
        <f t="shared" si="25"/>
        <v>248.73943363532115</v>
      </c>
      <c r="AF163" s="906">
        <f t="shared" si="31"/>
        <v>-703.2</v>
      </c>
      <c r="AG163" s="944">
        <f t="shared" si="26"/>
        <v>473.00341666769361</v>
      </c>
      <c r="AH163" s="254">
        <f t="shared" si="33"/>
        <v>-248.73943363532115</v>
      </c>
      <c r="AI163" s="254">
        <f t="shared" si="32"/>
        <v>248.73943363532115</v>
      </c>
      <c r="AJ163" s="254">
        <f t="shared" si="27"/>
        <v>-333.40654065329392</v>
      </c>
      <c r="AK163" s="255">
        <f t="shared" si="28"/>
        <v>-369.79345934670607</v>
      </c>
      <c r="AL163" s="255">
        <f t="shared" si="15"/>
        <v>-34.792358833963974</v>
      </c>
      <c r="AM163" s="240">
        <f t="shared" si="16"/>
        <v>-27.042122426033316</v>
      </c>
      <c r="AN163" s="241">
        <f t="shared" si="35"/>
        <v>34.792358833963974</v>
      </c>
      <c r="AO163" s="242">
        <f t="shared" si="35"/>
        <v>27.042122426033316</v>
      </c>
      <c r="AP163" s="242"/>
      <c r="AT163" s="260">
        <v>2</v>
      </c>
      <c r="AU163" s="261">
        <f>+AU162+43</f>
        <v>-430</v>
      </c>
      <c r="AV163" s="31">
        <f>+AV162+$E$2</f>
        <v>-430</v>
      </c>
      <c r="AW163" s="263">
        <f t="shared" si="36"/>
        <v>-599.7944616070439</v>
      </c>
      <c r="AX163" s="264">
        <f t="shared" si="37"/>
        <v>599.7944616070439</v>
      </c>
      <c r="AY163" s="264">
        <f>+AY162</f>
        <v>2.2055383929561287</v>
      </c>
      <c r="AZ163" s="264" t="b">
        <f t="shared" ref="AZ163:AZ198" si="38">IF(AY163=AX163,AT163)</f>
        <v>0</v>
      </c>
      <c r="BA163" s="266">
        <v>2</v>
      </c>
      <c r="BB163" s="197"/>
      <c r="BC163" s="197"/>
      <c r="BD163" s="197"/>
    </row>
    <row r="164" spans="2:56" ht="20" x14ac:dyDescent="0.3">
      <c r="AT164" s="260">
        <v>3</v>
      </c>
      <c r="AU164" s="261">
        <f t="shared" ref="AU164:AU198" si="39">+AU163+43</f>
        <v>-387</v>
      </c>
      <c r="AV164" s="31">
        <f t="shared" ref="AV164:AV198" si="40">+AV163+$E$2</f>
        <v>-387</v>
      </c>
      <c r="AW164" s="263">
        <f t="shared" si="36"/>
        <v>-556.7944616070439</v>
      </c>
      <c r="AX164" s="264">
        <f t="shared" si="37"/>
        <v>556.7944616070439</v>
      </c>
      <c r="AY164" s="264">
        <f t="shared" ref="AY164:AY198" si="41">+AY163</f>
        <v>2.2055383929561287</v>
      </c>
      <c r="AZ164" s="264" t="b">
        <f t="shared" si="38"/>
        <v>0</v>
      </c>
      <c r="BA164" s="266">
        <v>3</v>
      </c>
      <c r="BB164" s="197"/>
      <c r="BC164" s="197"/>
      <c r="BD164" s="197"/>
    </row>
    <row r="165" spans="2:56" ht="20" x14ac:dyDescent="0.3">
      <c r="AT165" s="260">
        <v>4</v>
      </c>
      <c r="AU165" s="261">
        <f t="shared" si="39"/>
        <v>-344</v>
      </c>
      <c r="AV165" s="31">
        <f t="shared" si="40"/>
        <v>-344</v>
      </c>
      <c r="AW165" s="263">
        <f t="shared" si="36"/>
        <v>-513.7944616070439</v>
      </c>
      <c r="AX165" s="264">
        <f t="shared" si="37"/>
        <v>513.7944616070439</v>
      </c>
      <c r="AY165" s="264">
        <f t="shared" si="41"/>
        <v>2.2055383929561287</v>
      </c>
      <c r="AZ165" s="264" t="b">
        <f t="shared" si="38"/>
        <v>0</v>
      </c>
      <c r="BA165" s="266">
        <v>4</v>
      </c>
      <c r="BB165" s="197"/>
      <c r="BC165" s="197"/>
      <c r="BD165" s="197"/>
    </row>
    <row r="166" spans="2:56" ht="20" x14ac:dyDescent="0.3">
      <c r="AT166" s="260">
        <v>5</v>
      </c>
      <c r="AU166" s="261">
        <f t="shared" si="39"/>
        <v>-301</v>
      </c>
      <c r="AV166" s="31">
        <f t="shared" si="40"/>
        <v>-301</v>
      </c>
      <c r="AW166" s="263">
        <f t="shared" si="36"/>
        <v>-470.7944616070439</v>
      </c>
      <c r="AX166" s="264">
        <f t="shared" si="37"/>
        <v>470.7944616070439</v>
      </c>
      <c r="AY166" s="264">
        <f t="shared" si="41"/>
        <v>2.2055383929561287</v>
      </c>
      <c r="AZ166" s="264" t="b">
        <f t="shared" si="38"/>
        <v>0</v>
      </c>
      <c r="BA166" s="266">
        <v>5</v>
      </c>
    </row>
    <row r="167" spans="2:56" ht="20" x14ac:dyDescent="0.3">
      <c r="AT167" s="260">
        <v>6</v>
      </c>
      <c r="AU167" s="261">
        <f t="shared" si="39"/>
        <v>-258</v>
      </c>
      <c r="AV167" s="31">
        <f t="shared" si="40"/>
        <v>-258</v>
      </c>
      <c r="AW167" s="263">
        <f t="shared" si="36"/>
        <v>-427.7944616070439</v>
      </c>
      <c r="AX167" s="264">
        <f t="shared" si="37"/>
        <v>427.7944616070439</v>
      </c>
      <c r="AY167" s="264">
        <f t="shared" si="41"/>
        <v>2.2055383929561287</v>
      </c>
      <c r="AZ167" s="264" t="b">
        <f t="shared" si="38"/>
        <v>0</v>
      </c>
      <c r="BA167" s="266">
        <v>6</v>
      </c>
    </row>
    <row r="168" spans="2:56" ht="20" x14ac:dyDescent="0.3">
      <c r="AT168" s="260">
        <v>7</v>
      </c>
      <c r="AU168" s="261">
        <f t="shared" si="39"/>
        <v>-215</v>
      </c>
      <c r="AV168" s="31">
        <f t="shared" si="40"/>
        <v>-215</v>
      </c>
      <c r="AW168" s="263">
        <f t="shared" si="36"/>
        <v>-384.7944616070439</v>
      </c>
      <c r="AX168" s="264">
        <f t="shared" si="37"/>
        <v>384.7944616070439</v>
      </c>
      <c r="AY168" s="264">
        <f t="shared" si="41"/>
        <v>2.2055383929561287</v>
      </c>
      <c r="AZ168" s="264" t="b">
        <f t="shared" si="38"/>
        <v>0</v>
      </c>
      <c r="BA168" s="266">
        <v>7</v>
      </c>
    </row>
    <row r="169" spans="2:56" ht="20" x14ac:dyDescent="0.3">
      <c r="AT169" s="260">
        <v>8</v>
      </c>
      <c r="AU169" s="261">
        <f t="shared" si="39"/>
        <v>-172</v>
      </c>
      <c r="AV169" s="31">
        <f t="shared" si="40"/>
        <v>-172</v>
      </c>
      <c r="AW169" s="263">
        <f t="shared" si="36"/>
        <v>-341.7944616070439</v>
      </c>
      <c r="AX169" s="264">
        <f t="shared" si="37"/>
        <v>341.7944616070439</v>
      </c>
      <c r="AY169" s="264">
        <f t="shared" si="41"/>
        <v>2.2055383929561287</v>
      </c>
      <c r="AZ169" s="264" t="b">
        <f t="shared" si="38"/>
        <v>0</v>
      </c>
      <c r="BA169" s="266">
        <v>8</v>
      </c>
    </row>
    <row r="170" spans="2:56" ht="20" x14ac:dyDescent="0.3">
      <c r="AT170" s="260">
        <v>9</v>
      </c>
      <c r="AU170" s="261">
        <f t="shared" si="39"/>
        <v>-129</v>
      </c>
      <c r="AV170" s="31">
        <f t="shared" si="40"/>
        <v>-129</v>
      </c>
      <c r="AW170" s="263">
        <f t="shared" si="36"/>
        <v>-298.7944616070439</v>
      </c>
      <c r="AX170" s="264">
        <f t="shared" si="37"/>
        <v>298.7944616070439</v>
      </c>
      <c r="AY170" s="264">
        <f t="shared" si="41"/>
        <v>2.2055383929561287</v>
      </c>
      <c r="AZ170" s="264" t="b">
        <f t="shared" si="38"/>
        <v>0</v>
      </c>
      <c r="BA170" s="266">
        <v>9</v>
      </c>
    </row>
    <row r="171" spans="2:56" ht="20" x14ac:dyDescent="0.3">
      <c r="AT171" s="260">
        <v>10</v>
      </c>
      <c r="AU171" s="261">
        <f t="shared" si="39"/>
        <v>-86</v>
      </c>
      <c r="AV171" s="31">
        <f t="shared" si="40"/>
        <v>-86</v>
      </c>
      <c r="AW171" s="263">
        <f t="shared" si="36"/>
        <v>-255.79446160704387</v>
      </c>
      <c r="AX171" s="264">
        <f t="shared" si="37"/>
        <v>255.79446160704387</v>
      </c>
      <c r="AY171" s="264">
        <f t="shared" si="41"/>
        <v>2.2055383929561287</v>
      </c>
      <c r="AZ171" s="264" t="b">
        <f t="shared" si="38"/>
        <v>0</v>
      </c>
      <c r="BA171" s="266">
        <v>10</v>
      </c>
    </row>
    <row r="172" spans="2:56" ht="20" x14ac:dyDescent="0.3">
      <c r="AT172" s="260">
        <v>11</v>
      </c>
      <c r="AU172" s="261">
        <f t="shared" si="39"/>
        <v>-43</v>
      </c>
      <c r="AV172" s="31">
        <f t="shared" si="40"/>
        <v>-43</v>
      </c>
      <c r="AW172" s="263">
        <f t="shared" si="36"/>
        <v>-212.79446160704387</v>
      </c>
      <c r="AX172" s="264">
        <f t="shared" si="37"/>
        <v>212.79446160704387</v>
      </c>
      <c r="AY172" s="264">
        <f t="shared" si="41"/>
        <v>2.2055383929561287</v>
      </c>
      <c r="AZ172" s="264" t="b">
        <f t="shared" si="38"/>
        <v>0</v>
      </c>
      <c r="BA172" s="266">
        <v>11</v>
      </c>
    </row>
    <row r="173" spans="2:56" ht="20" x14ac:dyDescent="0.3">
      <c r="AT173" s="260">
        <v>12</v>
      </c>
      <c r="AU173" s="261">
        <f t="shared" si="39"/>
        <v>0</v>
      </c>
      <c r="AV173" s="31">
        <f t="shared" si="40"/>
        <v>0</v>
      </c>
      <c r="AW173" s="263">
        <f t="shared" si="36"/>
        <v>-169.79446160704387</v>
      </c>
      <c r="AX173" s="264">
        <f t="shared" si="37"/>
        <v>169.79446160704387</v>
      </c>
      <c r="AY173" s="264">
        <f t="shared" si="41"/>
        <v>2.2055383929561287</v>
      </c>
      <c r="AZ173" s="264" t="b">
        <f t="shared" si="38"/>
        <v>0</v>
      </c>
      <c r="BA173" s="266">
        <v>12</v>
      </c>
    </row>
    <row r="174" spans="2:56" ht="20" x14ac:dyDescent="0.3">
      <c r="AT174" s="260">
        <v>13</v>
      </c>
      <c r="AU174" s="261">
        <f t="shared" si="39"/>
        <v>43</v>
      </c>
      <c r="AV174" s="31">
        <f t="shared" si="40"/>
        <v>43</v>
      </c>
      <c r="AW174" s="263">
        <f t="shared" si="36"/>
        <v>-126.79446160704387</v>
      </c>
      <c r="AX174" s="264">
        <f t="shared" si="37"/>
        <v>126.79446160704387</v>
      </c>
      <c r="AY174" s="264">
        <f t="shared" si="41"/>
        <v>2.2055383929561287</v>
      </c>
      <c r="AZ174" s="264" t="b">
        <f t="shared" si="38"/>
        <v>0</v>
      </c>
      <c r="BA174" s="266">
        <v>13</v>
      </c>
    </row>
    <row r="175" spans="2:56" ht="20" x14ac:dyDescent="0.3">
      <c r="AT175" s="260">
        <v>14</v>
      </c>
      <c r="AU175" s="261">
        <f t="shared" si="39"/>
        <v>86</v>
      </c>
      <c r="AV175" s="31">
        <f t="shared" si="40"/>
        <v>86</v>
      </c>
      <c r="AW175" s="263">
        <f t="shared" si="36"/>
        <v>-83.794461607043871</v>
      </c>
      <c r="AX175" s="264">
        <f t="shared" si="37"/>
        <v>83.794461607043871</v>
      </c>
      <c r="AY175" s="264">
        <f t="shared" si="41"/>
        <v>2.2055383929561287</v>
      </c>
      <c r="AZ175" s="264" t="b">
        <f t="shared" si="38"/>
        <v>0</v>
      </c>
      <c r="BA175" s="266">
        <v>14</v>
      </c>
    </row>
    <row r="176" spans="2:56" ht="20" x14ac:dyDescent="0.3">
      <c r="AT176" s="260">
        <v>15</v>
      </c>
      <c r="AU176" s="261">
        <f t="shared" si="39"/>
        <v>129</v>
      </c>
      <c r="AV176" s="31">
        <f t="shared" si="40"/>
        <v>129</v>
      </c>
      <c r="AW176" s="263">
        <f t="shared" si="36"/>
        <v>-40.794461607043871</v>
      </c>
      <c r="AX176" s="264">
        <f t="shared" si="37"/>
        <v>40.794461607043871</v>
      </c>
      <c r="AY176" s="264">
        <f t="shared" si="41"/>
        <v>2.2055383929561287</v>
      </c>
      <c r="AZ176" s="264" t="b">
        <f t="shared" si="38"/>
        <v>0</v>
      </c>
      <c r="BA176" s="266">
        <v>15</v>
      </c>
    </row>
    <row r="177" spans="46:76" ht="20" x14ac:dyDescent="0.3">
      <c r="AT177" s="260">
        <v>16</v>
      </c>
      <c r="AU177" s="261">
        <f t="shared" si="39"/>
        <v>172</v>
      </c>
      <c r="AV177" s="31">
        <f t="shared" si="40"/>
        <v>172</v>
      </c>
      <c r="AW177" s="263">
        <f t="shared" si="36"/>
        <v>2.2055383929561287</v>
      </c>
      <c r="AX177" s="264">
        <f t="shared" si="37"/>
        <v>2.2055383929561287</v>
      </c>
      <c r="AY177" s="264">
        <f t="shared" si="41"/>
        <v>2.2055383929561287</v>
      </c>
      <c r="AZ177" s="264">
        <f t="shared" si="38"/>
        <v>16</v>
      </c>
      <c r="BA177" s="266">
        <v>16</v>
      </c>
    </row>
    <row r="178" spans="46:76" ht="20" x14ac:dyDescent="0.3">
      <c r="AT178" s="260">
        <v>17</v>
      </c>
      <c r="AU178" s="261">
        <f t="shared" si="39"/>
        <v>215</v>
      </c>
      <c r="AV178" s="31">
        <f t="shared" si="40"/>
        <v>215</v>
      </c>
      <c r="AW178" s="263">
        <f t="shared" si="36"/>
        <v>45.205538392956129</v>
      </c>
      <c r="AX178" s="264">
        <f t="shared" si="37"/>
        <v>45.205538392956129</v>
      </c>
      <c r="AY178" s="264">
        <f t="shared" si="41"/>
        <v>2.2055383929561287</v>
      </c>
      <c r="AZ178" s="264" t="b">
        <f t="shared" si="38"/>
        <v>0</v>
      </c>
      <c r="BA178" s="266">
        <v>17</v>
      </c>
      <c r="BE178" s="267"/>
      <c r="BF178" s="267"/>
      <c r="BG178" s="267"/>
      <c r="BH178" s="267"/>
      <c r="BI178" s="267"/>
      <c r="BJ178" s="267"/>
      <c r="BK178" s="1109"/>
      <c r="BL178" s="1109"/>
      <c r="BM178" s="1109"/>
      <c r="BN178" s="109"/>
    </row>
    <row r="179" spans="46:76" ht="20" x14ac:dyDescent="0.3">
      <c r="AT179" s="260">
        <v>18</v>
      </c>
      <c r="AU179" s="261">
        <f t="shared" si="39"/>
        <v>258</v>
      </c>
      <c r="AV179" s="31">
        <f t="shared" si="40"/>
        <v>258</v>
      </c>
      <c r="AW179" s="263">
        <f t="shared" si="36"/>
        <v>88.205538392956129</v>
      </c>
      <c r="AX179" s="264">
        <f t="shared" si="37"/>
        <v>88.205538392956129</v>
      </c>
      <c r="AY179" s="264">
        <f t="shared" si="41"/>
        <v>2.2055383929561287</v>
      </c>
      <c r="AZ179" s="264" t="b">
        <f t="shared" si="38"/>
        <v>0</v>
      </c>
      <c r="BA179" s="266">
        <v>18</v>
      </c>
      <c r="BK179" s="268"/>
      <c r="BX179" s="268"/>
    </row>
    <row r="180" spans="46:76" ht="20" x14ac:dyDescent="0.3">
      <c r="AT180" s="260">
        <v>19</v>
      </c>
      <c r="AU180" s="261">
        <f t="shared" si="39"/>
        <v>301</v>
      </c>
      <c r="AV180" s="31">
        <f t="shared" si="40"/>
        <v>301</v>
      </c>
      <c r="AW180" s="263">
        <f t="shared" si="36"/>
        <v>131.20553839295613</v>
      </c>
      <c r="AX180" s="264">
        <f t="shared" si="37"/>
        <v>131.20553839295613</v>
      </c>
      <c r="AY180" s="264">
        <f t="shared" si="41"/>
        <v>2.2055383929561287</v>
      </c>
      <c r="AZ180" s="264" t="b">
        <f t="shared" si="38"/>
        <v>0</v>
      </c>
      <c r="BA180" s="266">
        <v>19</v>
      </c>
      <c r="BE180" s="269"/>
      <c r="BF180" s="269"/>
      <c r="BG180" s="269"/>
      <c r="BH180" s="269"/>
      <c r="BI180" s="269"/>
      <c r="BJ180" s="269"/>
      <c r="BK180" s="1110"/>
      <c r="BL180" s="1110"/>
      <c r="BW180" s="1104"/>
      <c r="BX180" s="1104"/>
    </row>
    <row r="181" spans="46:76" ht="20" x14ac:dyDescent="0.3">
      <c r="AT181" s="260">
        <v>20</v>
      </c>
      <c r="AU181" s="261">
        <f t="shared" si="39"/>
        <v>344</v>
      </c>
      <c r="AV181" s="31">
        <f t="shared" si="40"/>
        <v>344</v>
      </c>
      <c r="AW181" s="263">
        <f t="shared" si="36"/>
        <v>174.20553839295613</v>
      </c>
      <c r="AX181" s="264">
        <f t="shared" si="37"/>
        <v>174.20553839295613</v>
      </c>
      <c r="AY181" s="264">
        <f t="shared" si="41"/>
        <v>2.2055383929561287</v>
      </c>
      <c r="AZ181" s="264" t="b">
        <f t="shared" si="38"/>
        <v>0</v>
      </c>
      <c r="BA181" s="266">
        <v>20</v>
      </c>
    </row>
    <row r="182" spans="46:76" ht="20" x14ac:dyDescent="0.3">
      <c r="AT182" s="260">
        <v>21</v>
      </c>
      <c r="AU182" s="261">
        <f t="shared" si="39"/>
        <v>387</v>
      </c>
      <c r="AV182" s="31">
        <f t="shared" si="40"/>
        <v>387</v>
      </c>
      <c r="AW182" s="263">
        <f t="shared" si="36"/>
        <v>217.20553839295613</v>
      </c>
      <c r="AX182" s="264">
        <f t="shared" si="37"/>
        <v>217.20553839295613</v>
      </c>
      <c r="AY182" s="264">
        <f t="shared" si="41"/>
        <v>2.2055383929561287</v>
      </c>
      <c r="AZ182" s="264" t="b">
        <f t="shared" si="38"/>
        <v>0</v>
      </c>
      <c r="BA182" s="266">
        <v>21</v>
      </c>
    </row>
    <row r="183" spans="46:76" ht="20" x14ac:dyDescent="0.3">
      <c r="AT183" s="260">
        <v>22</v>
      </c>
      <c r="AU183" s="261">
        <f t="shared" si="39"/>
        <v>430</v>
      </c>
      <c r="AV183" s="31">
        <f t="shared" si="40"/>
        <v>430</v>
      </c>
      <c r="AW183" s="263">
        <f t="shared" si="36"/>
        <v>260.2055383929561</v>
      </c>
      <c r="AX183" s="264">
        <f t="shared" si="37"/>
        <v>260.2055383929561</v>
      </c>
      <c r="AY183" s="264">
        <f t="shared" si="41"/>
        <v>2.2055383929561287</v>
      </c>
      <c r="AZ183" s="264" t="b">
        <f t="shared" si="38"/>
        <v>0</v>
      </c>
      <c r="BA183" s="266">
        <v>22</v>
      </c>
    </row>
    <row r="184" spans="46:76" ht="20" x14ac:dyDescent="0.3">
      <c r="AT184" s="260">
        <v>23</v>
      </c>
      <c r="AU184" s="261">
        <f t="shared" si="39"/>
        <v>473</v>
      </c>
      <c r="AV184" s="31">
        <f t="shared" si="40"/>
        <v>473</v>
      </c>
      <c r="AW184" s="263">
        <f t="shared" si="36"/>
        <v>303.2055383929561</v>
      </c>
      <c r="AX184" s="264">
        <f t="shared" si="37"/>
        <v>303.2055383929561</v>
      </c>
      <c r="AY184" s="264">
        <f t="shared" si="41"/>
        <v>2.2055383929561287</v>
      </c>
      <c r="AZ184" s="264" t="b">
        <f t="shared" si="38"/>
        <v>0</v>
      </c>
      <c r="BA184" s="266">
        <v>23</v>
      </c>
    </row>
    <row r="185" spans="46:76" ht="20" x14ac:dyDescent="0.3">
      <c r="AT185" s="260">
        <v>24</v>
      </c>
      <c r="AU185" s="261">
        <f t="shared" si="39"/>
        <v>516</v>
      </c>
      <c r="AV185" s="31">
        <f t="shared" si="40"/>
        <v>516</v>
      </c>
      <c r="AW185" s="263">
        <f t="shared" si="36"/>
        <v>346.2055383929561</v>
      </c>
      <c r="AX185" s="264">
        <f t="shared" si="37"/>
        <v>346.2055383929561</v>
      </c>
      <c r="AY185" s="264">
        <f t="shared" si="41"/>
        <v>2.2055383929561287</v>
      </c>
      <c r="AZ185" s="264" t="b">
        <f t="shared" si="38"/>
        <v>0</v>
      </c>
      <c r="BA185" s="266">
        <v>24</v>
      </c>
    </row>
    <row r="186" spans="46:76" ht="20" x14ac:dyDescent="0.3">
      <c r="AT186" s="260">
        <v>25</v>
      </c>
      <c r="AU186" s="261">
        <f t="shared" si="39"/>
        <v>559</v>
      </c>
      <c r="AV186" s="31">
        <f t="shared" si="40"/>
        <v>559</v>
      </c>
      <c r="AW186" s="263">
        <f t="shared" si="36"/>
        <v>389.2055383929561</v>
      </c>
      <c r="AX186" s="264">
        <f t="shared" si="37"/>
        <v>389.2055383929561</v>
      </c>
      <c r="AY186" s="264">
        <f t="shared" si="41"/>
        <v>2.2055383929561287</v>
      </c>
      <c r="AZ186" s="264" t="b">
        <f t="shared" si="38"/>
        <v>0</v>
      </c>
      <c r="BA186" s="266">
        <v>25</v>
      </c>
    </row>
    <row r="187" spans="46:76" ht="20" x14ac:dyDescent="0.3">
      <c r="AT187" s="260">
        <v>26</v>
      </c>
      <c r="AU187" s="261">
        <f t="shared" si="39"/>
        <v>602</v>
      </c>
      <c r="AV187" s="31">
        <f t="shared" si="40"/>
        <v>602</v>
      </c>
      <c r="AW187" s="263">
        <f t="shared" si="36"/>
        <v>432.2055383929561</v>
      </c>
      <c r="AX187" s="264">
        <f t="shared" si="37"/>
        <v>432.2055383929561</v>
      </c>
      <c r="AY187" s="264">
        <f t="shared" si="41"/>
        <v>2.2055383929561287</v>
      </c>
      <c r="AZ187" s="264" t="b">
        <f t="shared" si="38"/>
        <v>0</v>
      </c>
      <c r="BA187" s="266">
        <v>26</v>
      </c>
    </row>
    <row r="188" spans="46:76" ht="20" x14ac:dyDescent="0.3">
      <c r="AT188" s="260">
        <v>27</v>
      </c>
      <c r="AU188" s="261">
        <f t="shared" si="39"/>
        <v>645</v>
      </c>
      <c r="AV188" s="31">
        <f t="shared" si="40"/>
        <v>645</v>
      </c>
      <c r="AW188" s="263">
        <f t="shared" si="36"/>
        <v>475.2055383929561</v>
      </c>
      <c r="AX188" s="264">
        <f t="shared" si="37"/>
        <v>475.2055383929561</v>
      </c>
      <c r="AY188" s="264">
        <f t="shared" si="41"/>
        <v>2.2055383929561287</v>
      </c>
      <c r="AZ188" s="264" t="b">
        <f t="shared" si="38"/>
        <v>0</v>
      </c>
      <c r="BA188" s="266">
        <v>27</v>
      </c>
    </row>
    <row r="189" spans="46:76" ht="20" x14ac:dyDescent="0.3">
      <c r="AT189" s="260">
        <v>28</v>
      </c>
      <c r="AU189" s="261">
        <f t="shared" si="39"/>
        <v>688</v>
      </c>
      <c r="AV189" s="31">
        <f t="shared" si="40"/>
        <v>688</v>
      </c>
      <c r="AW189" s="263">
        <f t="shared" si="36"/>
        <v>518.2055383929561</v>
      </c>
      <c r="AX189" s="264">
        <f t="shared" si="37"/>
        <v>518.2055383929561</v>
      </c>
      <c r="AY189" s="264">
        <f t="shared" si="41"/>
        <v>2.2055383929561287</v>
      </c>
      <c r="AZ189" s="264" t="b">
        <f t="shared" si="38"/>
        <v>0</v>
      </c>
      <c r="BA189" s="266">
        <v>28</v>
      </c>
    </row>
    <row r="190" spans="46:76" ht="20" x14ac:dyDescent="0.3">
      <c r="AT190" s="260">
        <v>29</v>
      </c>
      <c r="AU190" s="261">
        <f t="shared" si="39"/>
        <v>731</v>
      </c>
      <c r="AV190" s="31">
        <f t="shared" si="40"/>
        <v>731</v>
      </c>
      <c r="AW190" s="263">
        <f t="shared" si="36"/>
        <v>561.2055383929561</v>
      </c>
      <c r="AX190" s="264">
        <f t="shared" si="37"/>
        <v>561.2055383929561</v>
      </c>
      <c r="AY190" s="264">
        <f t="shared" si="41"/>
        <v>2.2055383929561287</v>
      </c>
      <c r="AZ190" s="264" t="b">
        <f t="shared" si="38"/>
        <v>0</v>
      </c>
      <c r="BA190" s="266">
        <v>29</v>
      </c>
    </row>
    <row r="191" spans="46:76" ht="20" x14ac:dyDescent="0.3">
      <c r="AT191" s="260">
        <v>30</v>
      </c>
      <c r="AU191" s="261">
        <f t="shared" si="39"/>
        <v>774</v>
      </c>
      <c r="AV191" s="31">
        <f t="shared" si="40"/>
        <v>774</v>
      </c>
      <c r="AW191" s="263">
        <f t="shared" si="36"/>
        <v>604.2055383929561</v>
      </c>
      <c r="AX191" s="264">
        <f t="shared" si="37"/>
        <v>604.2055383929561</v>
      </c>
      <c r="AY191" s="264">
        <f t="shared" si="41"/>
        <v>2.2055383929561287</v>
      </c>
      <c r="AZ191" s="264" t="b">
        <f t="shared" si="38"/>
        <v>0</v>
      </c>
      <c r="BA191" s="266">
        <v>30</v>
      </c>
    </row>
    <row r="192" spans="46:76" ht="20" x14ac:dyDescent="0.3">
      <c r="AT192" s="260">
        <v>31</v>
      </c>
      <c r="AU192" s="261">
        <f t="shared" si="39"/>
        <v>817</v>
      </c>
      <c r="AV192" s="31">
        <f t="shared" si="40"/>
        <v>817</v>
      </c>
      <c r="AW192" s="263">
        <f t="shared" si="36"/>
        <v>647.2055383929561</v>
      </c>
      <c r="AX192" s="264">
        <f t="shared" si="37"/>
        <v>647.2055383929561</v>
      </c>
      <c r="AY192" s="264">
        <f t="shared" si="41"/>
        <v>2.2055383929561287</v>
      </c>
      <c r="AZ192" s="264" t="b">
        <f t="shared" si="38"/>
        <v>0</v>
      </c>
      <c r="BA192" s="266">
        <v>31</v>
      </c>
    </row>
    <row r="193" spans="46:81" ht="20" x14ac:dyDescent="0.3">
      <c r="AT193" s="260">
        <v>32</v>
      </c>
      <c r="AU193" s="261">
        <f t="shared" si="39"/>
        <v>860</v>
      </c>
      <c r="AV193" s="31">
        <f t="shared" si="40"/>
        <v>860</v>
      </c>
      <c r="AW193" s="263">
        <f t="shared" si="36"/>
        <v>690.2055383929561</v>
      </c>
      <c r="AX193" s="264">
        <f t="shared" si="37"/>
        <v>690.2055383929561</v>
      </c>
      <c r="AY193" s="264">
        <f t="shared" si="41"/>
        <v>2.2055383929561287</v>
      </c>
      <c r="AZ193" s="264" t="b">
        <f t="shared" si="38"/>
        <v>0</v>
      </c>
      <c r="BA193" s="266">
        <v>32</v>
      </c>
    </row>
    <row r="194" spans="46:81" ht="20" x14ac:dyDescent="0.3">
      <c r="AT194" s="260">
        <v>33</v>
      </c>
      <c r="AU194" s="261">
        <f t="shared" si="39"/>
        <v>903</v>
      </c>
      <c r="AV194" s="31">
        <f t="shared" si="40"/>
        <v>903</v>
      </c>
      <c r="AW194" s="263">
        <f t="shared" si="36"/>
        <v>733.2055383929561</v>
      </c>
      <c r="AX194" s="264">
        <f t="shared" si="37"/>
        <v>733.2055383929561</v>
      </c>
      <c r="AY194" s="264">
        <f t="shared" si="41"/>
        <v>2.2055383929561287</v>
      </c>
      <c r="AZ194" s="264" t="b">
        <f t="shared" si="38"/>
        <v>0</v>
      </c>
      <c r="BA194" s="266">
        <v>33</v>
      </c>
    </row>
    <row r="195" spans="46:81" ht="20" x14ac:dyDescent="0.3">
      <c r="AT195" s="260">
        <v>34</v>
      </c>
      <c r="AU195" s="261">
        <f t="shared" si="39"/>
        <v>946</v>
      </c>
      <c r="AV195" s="31">
        <f t="shared" si="40"/>
        <v>946</v>
      </c>
      <c r="AW195" s="263">
        <f t="shared" si="36"/>
        <v>776.2055383929561</v>
      </c>
      <c r="AX195" s="264">
        <f t="shared" si="37"/>
        <v>776.2055383929561</v>
      </c>
      <c r="AY195" s="264">
        <f t="shared" si="41"/>
        <v>2.2055383929561287</v>
      </c>
      <c r="AZ195" s="264" t="b">
        <f t="shared" si="38"/>
        <v>0</v>
      </c>
      <c r="BA195" s="266">
        <v>34</v>
      </c>
    </row>
    <row r="196" spans="46:81" ht="20" x14ac:dyDescent="0.3">
      <c r="AT196" s="260">
        <v>35</v>
      </c>
      <c r="AU196" s="261">
        <f t="shared" si="39"/>
        <v>989</v>
      </c>
      <c r="AV196" s="31">
        <f t="shared" si="40"/>
        <v>989</v>
      </c>
      <c r="AW196" s="263">
        <f t="shared" si="36"/>
        <v>819.2055383929561</v>
      </c>
      <c r="AX196" s="264">
        <f t="shared" si="37"/>
        <v>819.2055383929561</v>
      </c>
      <c r="AY196" s="264">
        <f t="shared" si="41"/>
        <v>2.2055383929561287</v>
      </c>
      <c r="AZ196" s="264" t="b">
        <f t="shared" si="38"/>
        <v>0</v>
      </c>
      <c r="BA196" s="266">
        <v>35</v>
      </c>
    </row>
    <row r="197" spans="46:81" ht="20" x14ac:dyDescent="0.3">
      <c r="AT197" s="260">
        <v>36</v>
      </c>
      <c r="AU197" s="261">
        <f t="shared" si="39"/>
        <v>1032</v>
      </c>
      <c r="AV197" s="31">
        <f t="shared" si="40"/>
        <v>1032</v>
      </c>
      <c r="AW197" s="263">
        <f t="shared" si="36"/>
        <v>862.2055383929561</v>
      </c>
      <c r="AX197" s="264">
        <f t="shared" si="37"/>
        <v>862.2055383929561</v>
      </c>
      <c r="AY197" s="264">
        <f t="shared" si="41"/>
        <v>2.2055383929561287</v>
      </c>
      <c r="AZ197" s="264" t="b">
        <f t="shared" si="38"/>
        <v>0</v>
      </c>
      <c r="BA197" s="266">
        <v>36</v>
      </c>
      <c r="BE197" s="109"/>
      <c r="BG197" s="109"/>
      <c r="BI197" s="109"/>
    </row>
    <row r="198" spans="46:81" ht="20" x14ac:dyDescent="0.3">
      <c r="AT198" s="270">
        <v>37</v>
      </c>
      <c r="AU198" s="271">
        <f t="shared" si="39"/>
        <v>1075</v>
      </c>
      <c r="AV198" s="31">
        <f t="shared" si="40"/>
        <v>1075</v>
      </c>
      <c r="AW198" s="263">
        <f t="shared" si="36"/>
        <v>905.2055383929561</v>
      </c>
      <c r="AX198" s="264">
        <f t="shared" si="37"/>
        <v>905.2055383929561</v>
      </c>
      <c r="AY198" s="264">
        <f t="shared" si="41"/>
        <v>2.2055383929561287</v>
      </c>
      <c r="AZ198" s="264" t="b">
        <f t="shared" si="38"/>
        <v>0</v>
      </c>
      <c r="BA198" s="272">
        <v>37</v>
      </c>
      <c r="BE198" s="109"/>
      <c r="BI198" s="109"/>
    </row>
    <row r="199" spans="46:81" x14ac:dyDescent="0.2">
      <c r="BE199" s="109"/>
      <c r="BF199" s="273"/>
      <c r="BG199" s="273"/>
      <c r="BH199" s="273"/>
      <c r="BI199" s="273"/>
      <c r="BJ199" s="273"/>
      <c r="BK199" s="273"/>
      <c r="BL199" s="273"/>
      <c r="BM199" s="273"/>
      <c r="BN199" s="273"/>
      <c r="BO199" s="273"/>
      <c r="BP199" s="273"/>
      <c r="BQ199" s="273"/>
      <c r="BR199" s="273"/>
      <c r="BS199" s="273"/>
      <c r="BT199" s="273"/>
      <c r="BU199" s="273"/>
      <c r="BV199" s="273"/>
      <c r="BW199" s="273"/>
      <c r="BX199" s="273"/>
      <c r="BY199" s="273"/>
      <c r="BZ199" s="273"/>
      <c r="CA199" s="273"/>
      <c r="CB199" s="273"/>
      <c r="CC199" s="273"/>
    </row>
    <row r="200" spans="46:81" x14ac:dyDescent="0.2">
      <c r="BE200" s="109"/>
    </row>
    <row r="201" spans="46:81" x14ac:dyDescent="0.2">
      <c r="BE201" s="216"/>
      <c r="BF201" s="274"/>
      <c r="BG201" s="274"/>
      <c r="BH201" s="274"/>
      <c r="BI201" s="274"/>
      <c r="BJ201" s="274"/>
      <c r="BK201" s="274"/>
      <c r="BL201" s="274"/>
      <c r="BM201" s="274"/>
      <c r="BN201" s="274"/>
      <c r="BO201" s="274"/>
      <c r="BP201" s="274"/>
      <c r="BQ201" s="274"/>
      <c r="BR201" s="274"/>
      <c r="BS201" s="274"/>
      <c r="BT201" s="274"/>
      <c r="BU201" s="274"/>
      <c r="BV201" s="274"/>
      <c r="BW201" s="274"/>
      <c r="BX201" s="274"/>
      <c r="BY201" s="274"/>
      <c r="BZ201" s="274"/>
      <c r="CA201" s="274"/>
      <c r="CB201" s="274"/>
      <c r="CC201" s="274"/>
    </row>
    <row r="202" spans="46:81" x14ac:dyDescent="0.2">
      <c r="BE202" s="109"/>
      <c r="BF202" s="186"/>
      <c r="BG202" s="186"/>
      <c r="BH202" s="186"/>
      <c r="BI202" s="186"/>
      <c r="BJ202" s="186"/>
      <c r="BK202" s="186"/>
      <c r="BL202" s="186"/>
      <c r="BM202" s="186"/>
      <c r="BN202" s="186"/>
      <c r="BO202" s="186"/>
      <c r="BP202" s="186"/>
      <c r="BQ202" s="186"/>
      <c r="BR202" s="186"/>
      <c r="BS202" s="186"/>
      <c r="BT202" s="186"/>
      <c r="BU202" s="186"/>
      <c r="BV202" s="186"/>
      <c r="BW202" s="186"/>
      <c r="BX202" s="186"/>
      <c r="BY202" s="186"/>
      <c r="BZ202" s="186"/>
      <c r="CA202" s="186"/>
      <c r="CB202" s="186"/>
      <c r="CC202" s="186"/>
    </row>
    <row r="204" spans="46:81" x14ac:dyDescent="0.2">
      <c r="BF204" s="217"/>
      <c r="BG204" s="217"/>
      <c r="BH204" s="217"/>
      <c r="BI204" s="217"/>
      <c r="BJ204" s="217"/>
      <c r="BK204" s="217"/>
      <c r="BL204" s="109"/>
      <c r="BM204" s="109"/>
      <c r="BN204" s="109"/>
      <c r="BO204" s="109"/>
      <c r="BP204" s="109"/>
      <c r="BQ204" s="217"/>
      <c r="BR204" s="217"/>
      <c r="BS204" s="217"/>
      <c r="BT204" s="109"/>
      <c r="BU204" s="109"/>
      <c r="BV204" s="109"/>
      <c r="BW204" s="109"/>
      <c r="BX204" s="109"/>
      <c r="BY204" s="109"/>
      <c r="BZ204" s="109"/>
      <c r="CA204" s="109"/>
      <c r="CB204" s="109"/>
      <c r="CC204" s="109"/>
    </row>
    <row r="205" spans="46:81" x14ac:dyDescent="0.2">
      <c r="BF205" s="217"/>
      <c r="BG205" s="217"/>
      <c r="BH205" s="217"/>
      <c r="BI205" s="217"/>
      <c r="BJ205" s="217"/>
      <c r="BK205" s="217"/>
      <c r="BP205" s="217"/>
      <c r="BQ205" s="217"/>
      <c r="BR205" s="217"/>
      <c r="BS205" s="217"/>
      <c r="BX205" s="217"/>
      <c r="BY205" s="217"/>
      <c r="BZ205" s="217"/>
      <c r="CA205" s="217"/>
      <c r="CB205" s="217"/>
      <c r="CC205" s="217"/>
    </row>
  </sheetData>
  <sheetProtection algorithmName="SHA-512" hashValue="xElS+Uu6l5XK0sz/qMdX/2OmK3YWPT6Ml/zX7oC0yrHFdXip38Ec7+6cC8+ElfrKZS4aTyW8Io9g9WQBnbVNPg==" saltValue="gDcqpZ+zObx5vYxyoeDQ8Q==" spinCount="100000" sheet="1" objects="1" scenarios="1" selectLockedCells="1"/>
  <protectedRanges>
    <protectedRange sqref="B132 D138" name="Range1"/>
    <protectedRange sqref="B135" name="Range1_1"/>
    <protectedRange sqref="D139:D163" name="Range1_3"/>
  </protectedRanges>
  <mergeCells count="17">
    <mergeCell ref="B33:E33"/>
    <mergeCell ref="BF49:BG49"/>
    <mergeCell ref="CF50:CP51"/>
    <mergeCell ref="AR51:AS51"/>
    <mergeCell ref="BF51:BG51"/>
    <mergeCell ref="CD51:CE51"/>
    <mergeCell ref="BF53:BP54"/>
    <mergeCell ref="CO54:CP54"/>
    <mergeCell ref="BF56:BP57"/>
    <mergeCell ref="CH56:CP57"/>
    <mergeCell ref="BQ57:BR57"/>
    <mergeCell ref="CF57:CG57"/>
    <mergeCell ref="B133:B134"/>
    <mergeCell ref="AN135:AO135"/>
    <mergeCell ref="BK178:BM178"/>
    <mergeCell ref="BK180:BL180"/>
    <mergeCell ref="BW180:BX180"/>
  </mergeCells>
  <conditionalFormatting sqref="B140:G140 J140:Z140 AB140 AE140 AH140:AP140">
    <cfRule type="expression" dxfId="577" priority="25">
      <formula>$B$135&lt;3</formula>
    </cfRule>
  </conditionalFormatting>
  <conditionalFormatting sqref="B141:G141 J141:Z141 AB141 AE141 AH141:AP141">
    <cfRule type="expression" dxfId="576" priority="24">
      <formula>$B$135&lt;4</formula>
    </cfRule>
  </conditionalFormatting>
  <conditionalFormatting sqref="B142:G142 J142:Z142 AB142 AE142 AH142:AP142">
    <cfRule type="expression" dxfId="575" priority="23">
      <formula>$B$135&lt;5</formula>
    </cfRule>
  </conditionalFormatting>
  <conditionalFormatting sqref="B143:G143 J143:Z143 AB143 AE143 AH143:AP143">
    <cfRule type="expression" dxfId="574" priority="22">
      <formula>$B$135&lt;6</formula>
    </cfRule>
  </conditionalFormatting>
  <conditionalFormatting sqref="B144:G144 J144:Z144 AB144 AE144 AH144:AP144">
    <cfRule type="expression" dxfId="573" priority="21">
      <formula>$B$135&lt;7</formula>
    </cfRule>
  </conditionalFormatting>
  <conditionalFormatting sqref="B145:G145 J145:Z145 AB145 AE145 AH145:AP145">
    <cfRule type="expression" dxfId="572" priority="20">
      <formula>$B$135&lt;8</formula>
    </cfRule>
  </conditionalFormatting>
  <conditionalFormatting sqref="B146:G146 J146:Z146 AB146 AE146 AH146:AP146">
    <cfRule type="expression" dxfId="571" priority="19">
      <formula>$B$135&lt;9</formula>
    </cfRule>
  </conditionalFormatting>
  <conditionalFormatting sqref="B147:G147 J147:Z147 AB147 AE147 AH147:AP147">
    <cfRule type="expression" dxfId="570" priority="18">
      <formula>$B$135&lt;10</formula>
    </cfRule>
  </conditionalFormatting>
  <conditionalFormatting sqref="B148:G148 J148:Z148 AB148 AE148 AH148:AP148">
    <cfRule type="expression" dxfId="569" priority="17">
      <formula>$B$135&lt;11</formula>
    </cfRule>
  </conditionalFormatting>
  <conditionalFormatting sqref="B149:G149 J149:Z149 AB149 AE149 AH149:AP149">
    <cfRule type="expression" dxfId="568" priority="16">
      <formula>$B$135&lt;12</formula>
    </cfRule>
  </conditionalFormatting>
  <conditionalFormatting sqref="B150:G150 J150:Z150 AB150 AE150 AH150:AP150">
    <cfRule type="expression" dxfId="567" priority="15">
      <formula>$B$135&lt;13</formula>
    </cfRule>
  </conditionalFormatting>
  <conditionalFormatting sqref="B151:G151 J151:Z151 AB151 AE151 AH151:AP151">
    <cfRule type="expression" dxfId="566" priority="14">
      <formula>$B$135&lt;14</formula>
    </cfRule>
  </conditionalFormatting>
  <conditionalFormatting sqref="B152:G152 J152:Z152 AB152 AE152 AH152:AP152">
    <cfRule type="expression" dxfId="565" priority="13">
      <formula>$B$135&lt;15</formula>
    </cfRule>
  </conditionalFormatting>
  <conditionalFormatting sqref="B153:G153 J153:Z153 AB153 AE153 AH153:AP153">
    <cfRule type="expression" dxfId="564" priority="12">
      <formula>$B$135&lt;16</formula>
    </cfRule>
  </conditionalFormatting>
  <conditionalFormatting sqref="B154:G154 J154:Z154 AB154 AE154 AH154:AP154">
    <cfRule type="expression" dxfId="563" priority="11">
      <formula>$B$135&lt;17</formula>
    </cfRule>
  </conditionalFormatting>
  <conditionalFormatting sqref="B155:G155 J155:Z155 AB155 AE155 AH155:AP155">
    <cfRule type="expression" dxfId="562" priority="10">
      <formula>$B$135&lt;18</formula>
    </cfRule>
  </conditionalFormatting>
  <conditionalFormatting sqref="B158:W158 Y158:AP158">
    <cfRule type="expression" dxfId="561" priority="8">
      <formula>$B$135&lt;21</formula>
    </cfRule>
  </conditionalFormatting>
  <conditionalFormatting sqref="B160:W160 Y160:AP160">
    <cfRule type="expression" dxfId="560" priority="4">
      <formula>$B$135&lt;23</formula>
    </cfRule>
  </conditionalFormatting>
  <conditionalFormatting sqref="B161:W161 Y161:AP161">
    <cfRule type="expression" dxfId="559" priority="3">
      <formula>$B$135&lt;24</formula>
    </cfRule>
  </conditionalFormatting>
  <conditionalFormatting sqref="B162:W162 Y162:AP162">
    <cfRule type="expression" dxfId="558" priority="2">
      <formula>$B$135&lt;25</formula>
    </cfRule>
  </conditionalFormatting>
  <conditionalFormatting sqref="B163:W163 Y163:AP163">
    <cfRule type="expression" dxfId="557" priority="1">
      <formula>$B$135&lt;26</formula>
    </cfRule>
  </conditionalFormatting>
  <conditionalFormatting sqref="B139:AP139">
    <cfRule type="expression" dxfId="556" priority="7">
      <formula>$B$135&lt;2</formula>
    </cfRule>
  </conditionalFormatting>
  <conditionalFormatting sqref="B156:AP156">
    <cfRule type="expression" dxfId="555" priority="6">
      <formula>$B$135&lt;19</formula>
    </cfRule>
  </conditionalFormatting>
  <conditionalFormatting sqref="B157:AP157">
    <cfRule type="expression" dxfId="554" priority="9">
      <formula>$B$135&lt;20</formula>
    </cfRule>
  </conditionalFormatting>
  <conditionalFormatting sqref="B159:AP159">
    <cfRule type="expression" dxfId="553" priority="5">
      <formula>$B$135&lt;22</formula>
    </cfRule>
  </conditionalFormatting>
  <conditionalFormatting sqref="D131:D132">
    <cfRule type="cellIs" dxfId="552" priority="113" stopIfTrue="1" operator="equal">
      <formula>"change the angle of frame or of cabinets"</formula>
    </cfRule>
  </conditionalFormatting>
  <conditionalFormatting sqref="D133">
    <cfRule type="cellIs" dxfId="551" priority="112" stopIfTrue="1" operator="equal">
      <formula>"USE EXBAR AR AT THE FRONT"</formula>
    </cfRule>
  </conditionalFormatting>
  <conditionalFormatting sqref="D134">
    <cfRule type="cellIs" dxfId="550" priority="111" stopIfTrue="1" operator="equal">
      <formula>"USE EXBAR AR AT THE BACK"</formula>
    </cfRule>
  </conditionalFormatting>
  <conditionalFormatting sqref="D138:D163">
    <cfRule type="cellIs" dxfId="549" priority="27" operator="notEqual">
      <formula>0</formula>
    </cfRule>
  </conditionalFormatting>
  <conditionalFormatting sqref="AO138:AP163">
    <cfRule type="cellIs" dxfId="548" priority="26" operator="lessThan">
      <formula>10</formula>
    </cfRule>
  </conditionalFormatting>
  <conditionalFormatting sqref="BC50">
    <cfRule type="cellIs" dxfId="547" priority="88" operator="equal">
      <formula>"""OK"""</formula>
    </cfRule>
    <cfRule type="cellIs" dxfId="546" priority="89" stopIfTrue="1" operator="equal">
      <formula>"negative force at the motor"</formula>
    </cfRule>
  </conditionalFormatting>
  <conditionalFormatting sqref="BC53">
    <cfRule type="cellIs" dxfId="545" priority="87" stopIfTrue="1" operator="equal">
      <formula>"negative force at the motor"</formula>
    </cfRule>
    <cfRule type="cellIs" dxfId="544" priority="86" operator="equal">
      <formula>"""OK"""</formula>
    </cfRule>
  </conditionalFormatting>
  <conditionalFormatting sqref="BC56">
    <cfRule type="cellIs" dxfId="543" priority="85" stopIfTrue="1" operator="equal">
      <formula>"negative force at the motor"</formula>
    </cfRule>
    <cfRule type="cellIs" dxfId="542" priority="84" operator="equal">
      <formula>"""OK"""</formula>
    </cfRule>
  </conditionalFormatting>
  <conditionalFormatting sqref="BC80 BC126 BC51 BC54 BC57 BC85">
    <cfRule type="cellIs" dxfId="541" priority="81" operator="equal">
      <formula>"OVERLOAD"</formula>
    </cfRule>
  </conditionalFormatting>
  <conditionalFormatting sqref="BD79:BD80 BC80 BD125:BD126 BC126">
    <cfRule type="expression" dxfId="540" priority="78">
      <formula>$B$132&lt;&gt;0</formula>
    </cfRule>
  </conditionalFormatting>
  <conditionalFormatting sqref="BF125:BV125">
    <cfRule type="expression" dxfId="539" priority="83">
      <formula>$B$132=0</formula>
    </cfRule>
  </conditionalFormatting>
  <conditionalFormatting sqref="BQ79:CG79">
    <cfRule type="cellIs" dxfId="538" priority="79" operator="equal">
      <formula>0</formula>
    </cfRule>
    <cfRule type="expression" dxfId="537" priority="82">
      <formula>$B$132=0</formula>
    </cfRule>
  </conditionalFormatting>
  <conditionalFormatting sqref="BZ125:CP125">
    <cfRule type="expression" dxfId="536" priority="80">
      <formula>$B$132=0</formula>
    </cfRule>
  </conditionalFormatting>
  <dataValidations count="6">
    <dataValidation type="decimal" allowBlank="1" showInputMessage="1" showErrorMessage="1" sqref="B132" xr:uid="{00000000-0002-0000-0100-000000000000}">
      <formula1>-89.9</formula1>
      <formula2>89.9</formula2>
    </dataValidation>
    <dataValidation type="whole" allowBlank="1" showInputMessage="1" showErrorMessage="1" sqref="D138" xr:uid="{00000000-0002-0000-0100-000001000000}">
      <formula1>-2</formula1>
      <formula2>4</formula2>
    </dataValidation>
    <dataValidation type="decimal" allowBlank="1" showInputMessage="1" showErrorMessage="1" sqref="G139:G163" xr:uid="{00000000-0002-0000-0100-000002000000}">
      <formula1>0</formula1>
      <formula2>8</formula2>
    </dataValidation>
    <dataValidation type="decimal" allowBlank="1" showInputMessage="1" showErrorMessage="1" sqref="G138" xr:uid="{00000000-0002-0000-0100-000003000000}">
      <formula1>0</formula1>
      <formula2>4</formula2>
    </dataValidation>
    <dataValidation type="whole" allowBlank="1" showInputMessage="1" showErrorMessage="1" errorTitle="Coda Audio" error="YOU HAVE ENTERED A WRONG NUMBER OF CABINETS" promptTitle="Coda Audio" prompt="ENTER THE NUMBER OF CABINETS FROM 1 UP TO 26" sqref="B135" xr:uid="{00000000-0002-0000-0100-000004000000}">
      <formula1>1</formula1>
      <formula2>26</formula2>
    </dataValidation>
    <dataValidation type="custom" allowBlank="1" showInputMessage="1" showErrorMessage="1" sqref="D139:D163" xr:uid="{00000000-0002-0000-0100-000005000000}">
      <formula1>OR(D139=0.5,D139=2.5,D139=1,D139=2,D139=2.5,D139=3,D139=4,D139=5,D139=6,D139=7,D139=8,D139=9,D139=10)</formula1>
    </dataValidation>
  </dataValidations>
  <pageMargins left="0.75" right="0.75" top="1" bottom="1" header="0.5" footer="0.5"/>
  <pageSetup paperSize="9" orientation="portrait" horizontalDpi="4294967293" verticalDpi="200" r:id="rId1"/>
  <headerFooter alignWithMargins="0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>
    <tabColor rgb="FF92D050"/>
  </sheetPr>
  <dimension ref="A1:EM225"/>
  <sheetViews>
    <sheetView topLeftCell="A25" zoomScale="50" zoomScaleNormal="50" workbookViewId="0">
      <selection activeCell="B147" sqref="B147"/>
    </sheetView>
  </sheetViews>
  <sheetFormatPr baseColWidth="10" defaultColWidth="9.1640625" defaultRowHeight="18" x14ac:dyDescent="0.2"/>
  <cols>
    <col min="1" max="1" width="5.83203125" customWidth="1"/>
    <col min="2" max="2" width="33" style="24" customWidth="1"/>
    <col min="3" max="3" width="19.5" style="24" hidden="1" customWidth="1"/>
    <col min="4" max="4" width="41.1640625" customWidth="1"/>
    <col min="5" max="5" width="45.6640625" customWidth="1"/>
    <col min="6" max="6" width="17.1640625" hidden="1" customWidth="1"/>
    <col min="7" max="7" width="17.83203125" hidden="1" customWidth="1"/>
    <col min="8" max="21" width="13.5" style="48" hidden="1" customWidth="1"/>
    <col min="22" max="27" width="11.33203125" style="48" hidden="1" customWidth="1"/>
    <col min="28" max="28" width="31.33203125" style="48" customWidth="1"/>
    <col min="29" max="38" width="13.5" style="48" hidden="1" customWidth="1"/>
    <col min="39" max="39" width="18.33203125" style="48" hidden="1" customWidth="1"/>
    <col min="40" max="40" width="45.83203125" style="48" hidden="1" customWidth="1"/>
    <col min="41" max="41" width="32.5" style="48" hidden="1" customWidth="1"/>
    <col min="42" max="42" width="26" style="48" hidden="1" customWidth="1"/>
    <col min="43" max="43" width="21.33203125" style="48" hidden="1" customWidth="1"/>
    <col min="44" max="45" width="13.5" style="48" hidden="1" customWidth="1"/>
    <col min="46" max="46" width="19.5" style="48" hidden="1" customWidth="1"/>
    <col min="47" max="51" width="13.5" style="48" hidden="1" customWidth="1"/>
    <col min="52" max="53" width="13" style="48" customWidth="1"/>
    <col min="54" max="54" width="17" hidden="1" customWidth="1"/>
    <col min="55" max="55" width="14.5" hidden="1" customWidth="1"/>
    <col min="56" max="56" width="9.33203125" hidden="1" customWidth="1"/>
    <col min="57" max="57" width="4.83203125" hidden="1" customWidth="1"/>
    <col min="58" max="58" width="6.83203125" hidden="1" customWidth="1"/>
    <col min="59" max="59" width="17.5" hidden="1" customWidth="1"/>
    <col min="60" max="60" width="17" hidden="1" customWidth="1"/>
    <col min="61" max="62" width="16.33203125" hidden="1" customWidth="1"/>
    <col min="63" max="63" width="9.33203125" hidden="1" customWidth="1"/>
    <col min="64" max="64" width="8.5" hidden="1" customWidth="1"/>
    <col min="65" max="65" width="18.1640625" style="65" hidden="1" customWidth="1"/>
    <col min="66" max="66" width="27.6640625" customWidth="1"/>
    <col min="67" max="67" width="37.83203125" style="43" customWidth="1"/>
    <col min="68" max="68" width="55.6640625" customWidth="1"/>
    <col min="69" max="105" width="7.1640625" customWidth="1"/>
    <col min="106" max="106" width="7.6640625" hidden="1" customWidth="1"/>
    <col min="107" max="107" width="16" hidden="1" customWidth="1"/>
    <col min="108" max="108" width="41" hidden="1" customWidth="1"/>
    <col min="109" max="109" width="41.5" hidden="1" customWidth="1"/>
    <col min="110" max="133" width="6.5" hidden="1" customWidth="1"/>
    <col min="134" max="139" width="6.5" customWidth="1"/>
    <col min="140" max="142" width="9.1640625" customWidth="1"/>
    <col min="143" max="143" width="11.5" customWidth="1"/>
    <col min="144" max="144" width="9.33203125" customWidth="1"/>
    <col min="145" max="149" width="9.1640625" customWidth="1"/>
  </cols>
  <sheetData>
    <row r="1" spans="2:15" ht="20" hidden="1" x14ac:dyDescent="0.2">
      <c r="D1" s="25" t="s">
        <v>93</v>
      </c>
      <c r="E1" s="25" t="s">
        <v>94</v>
      </c>
      <c r="F1" s="25" t="s">
        <v>95</v>
      </c>
      <c r="G1" s="789" t="s">
        <v>165</v>
      </c>
      <c r="H1" s="790">
        <v>18000</v>
      </c>
      <c r="I1" s="946"/>
      <c r="J1" s="946"/>
      <c r="K1" s="946"/>
      <c r="L1" s="946"/>
      <c r="M1" s="946"/>
      <c r="N1" s="946"/>
      <c r="O1" s="947"/>
    </row>
    <row r="2" spans="2:15" ht="20" hidden="1" x14ac:dyDescent="0.2">
      <c r="B2" s="295" t="s">
        <v>24</v>
      </c>
      <c r="C2" s="28">
        <v>688</v>
      </c>
      <c r="D2" s="29">
        <f>+COS(($B$144*-1)*3.14159265358979/180)*C2</f>
        <v>688</v>
      </c>
      <c r="E2" s="30">
        <f>+COS(($B$144*-1)*3.14159265358979/180)*43</f>
        <v>43</v>
      </c>
      <c r="F2" s="31">
        <f>+COS((($B$144*-1)+72.969997)*3.14159265358979/180)*162.1867</f>
        <v>47.500013702602963</v>
      </c>
      <c r="G2" s="793" t="s">
        <v>157</v>
      </c>
      <c r="H2" s="757">
        <v>77</v>
      </c>
      <c r="I2" s="43"/>
      <c r="J2" s="43"/>
      <c r="K2" s="43"/>
      <c r="L2" s="43"/>
      <c r="M2" s="43"/>
      <c r="N2" s="43"/>
      <c r="O2" s="935"/>
    </row>
    <row r="3" spans="2:15" ht="21" hidden="1" thickBot="1" x14ac:dyDescent="0.25">
      <c r="B3" s="27" t="s">
        <v>102</v>
      </c>
      <c r="C3" s="32">
        <f>+C9-47.5</f>
        <v>237.84048711979182</v>
      </c>
      <c r="D3" s="29">
        <f>+C9-F2</f>
        <v>237.84047341718886</v>
      </c>
      <c r="G3" s="793" t="s">
        <v>158</v>
      </c>
      <c r="H3" s="758">
        <v>215</v>
      </c>
      <c r="I3" s="165"/>
      <c r="J3" s="43"/>
      <c r="K3" s="43"/>
      <c r="L3" s="43"/>
      <c r="M3" s="43"/>
      <c r="N3" s="43"/>
      <c r="O3" s="935"/>
    </row>
    <row r="4" spans="2:15" ht="58" hidden="1" thickBot="1" x14ac:dyDescent="0.25">
      <c r="B4" s="33" t="s">
        <v>103</v>
      </c>
      <c r="C4" s="34">
        <v>1075</v>
      </c>
      <c r="D4" s="29">
        <f>+COS(($B$144*-1)*3.14159265358979/180)*C4</f>
        <v>1075</v>
      </c>
      <c r="G4" s="795" t="s">
        <v>178</v>
      </c>
      <c r="H4" s="762">
        <v>860</v>
      </c>
      <c r="I4" s="783">
        <v>1</v>
      </c>
      <c r="J4" s="1047" t="s">
        <v>173</v>
      </c>
      <c r="K4" s="1054"/>
      <c r="L4" s="1054"/>
      <c r="M4" s="1054"/>
      <c r="N4" s="43"/>
      <c r="O4" s="935"/>
    </row>
    <row r="5" spans="2:15" ht="38" hidden="1" x14ac:dyDescent="0.2">
      <c r="B5" s="33" t="s">
        <v>104</v>
      </c>
      <c r="C5" s="34">
        <f>+C9+425.5</f>
        <v>710.84048711979176</v>
      </c>
      <c r="D5" s="29">
        <f>+(COS(($B$144*-1)*3.14159265358979/180)*473)+$D$3</f>
        <v>710.84047341718883</v>
      </c>
      <c r="G5" s="795" t="s">
        <v>159</v>
      </c>
      <c r="H5" s="762">
        <v>688</v>
      </c>
      <c r="I5" s="43"/>
      <c r="J5" s="761" t="s">
        <v>162</v>
      </c>
      <c r="K5" s="761" t="s">
        <v>170</v>
      </c>
      <c r="L5" s="771" t="s">
        <v>169</v>
      </c>
      <c r="M5" s="924"/>
      <c r="N5" s="43"/>
      <c r="O5" s="935"/>
    </row>
    <row r="6" spans="2:15" ht="21" hidden="1" thickBot="1" x14ac:dyDescent="0.25">
      <c r="B6" s="170"/>
      <c r="C6" s="170"/>
      <c r="G6" s="795" t="s">
        <v>204</v>
      </c>
      <c r="H6" s="762">
        <v>602</v>
      </c>
      <c r="I6" s="43"/>
      <c r="J6" s="763">
        <f>+H9/H8*BQ27</f>
        <v>198.69898782550115</v>
      </c>
      <c r="K6" s="763">
        <f>((H8-H9)/H8)*BQ27</f>
        <v>-136.60555413003206</v>
      </c>
      <c r="L6" s="763">
        <f>+CO27</f>
        <v>121.2065663045309</v>
      </c>
      <c r="M6" s="761" t="s">
        <v>168</v>
      </c>
      <c r="N6" s="43"/>
      <c r="O6" s="935"/>
    </row>
    <row r="7" spans="2:15" ht="42" hidden="1" customHeight="1" thickBot="1" x14ac:dyDescent="0.25">
      <c r="B7" s="296" t="s">
        <v>16</v>
      </c>
      <c r="C7" s="297">
        <f>+C11+C14+4.5+0.5+30</f>
        <v>183.3</v>
      </c>
      <c r="D7" s="887" t="s">
        <v>223</v>
      </c>
      <c r="G7" s="796" t="s">
        <v>175</v>
      </c>
      <c r="H7" s="756">
        <f>(+SIN(($B$144*-1)*3.14159265358979/180)*H2)</f>
        <v>0</v>
      </c>
      <c r="I7" s="43"/>
      <c r="J7" s="764">
        <f>ABS($H$1/J6)</f>
        <v>90.589288838289036</v>
      </c>
      <c r="K7" s="764">
        <f>ABS($H$1/K6)</f>
        <v>131.76623831023858</v>
      </c>
      <c r="L7" s="764">
        <f>ABS($H$1/L6)</f>
        <v>148.50680576805624</v>
      </c>
      <c r="M7" s="766" t="s">
        <v>167</v>
      </c>
      <c r="N7" s="43"/>
      <c r="O7" s="935"/>
    </row>
    <row r="8" spans="2:15" ht="20" hidden="1" x14ac:dyDescent="0.2">
      <c r="B8" s="296" t="s">
        <v>17</v>
      </c>
      <c r="C8" s="296">
        <f>+AR150</f>
        <v>747.0023123282715</v>
      </c>
      <c r="G8" s="796" t="s">
        <v>174</v>
      </c>
      <c r="H8" s="756">
        <f>(+COS(($B$144*-1)*3.14159265358979/180)*H3)</f>
        <v>215</v>
      </c>
      <c r="I8" s="43"/>
      <c r="J8" s="1045">
        <f>ABS($E$20/BQ27)</f>
        <v>128.83809968112217</v>
      </c>
      <c r="K8" s="1045"/>
      <c r="L8" s="1045">
        <f>ABS($E$20/CO27)</f>
        <v>66.003024785802779</v>
      </c>
      <c r="M8" s="1044" t="s">
        <v>308</v>
      </c>
      <c r="N8" s="43"/>
      <c r="O8" s="935"/>
    </row>
    <row r="9" spans="2:15" ht="30.75" hidden="1" customHeight="1" thickBot="1" x14ac:dyDescent="0.25">
      <c r="B9" s="296" t="s">
        <v>14</v>
      </c>
      <c r="C9" s="296">
        <f>+AO146</f>
        <v>285.34048711979182</v>
      </c>
      <c r="G9" s="793" t="s">
        <v>172</v>
      </c>
      <c r="H9" s="756">
        <f>+D2+H7</f>
        <v>688</v>
      </c>
      <c r="I9" s="43"/>
      <c r="J9" s="43"/>
      <c r="K9" s="43"/>
      <c r="L9" s="43"/>
      <c r="M9" s="43"/>
      <c r="N9" s="43"/>
      <c r="O9" s="935"/>
    </row>
    <row r="10" spans="2:15" ht="35.25" hidden="1" customHeight="1" thickBot="1" x14ac:dyDescent="0.25">
      <c r="B10" s="955" t="s">
        <v>56</v>
      </c>
      <c r="C10" s="975">
        <v>57</v>
      </c>
      <c r="D10" s="956" t="s">
        <v>231</v>
      </c>
      <c r="G10" s="927"/>
      <c r="H10" s="43"/>
      <c r="I10" s="783">
        <v>2</v>
      </c>
      <c r="J10" s="1047" t="s">
        <v>180</v>
      </c>
      <c r="K10" s="1047"/>
      <c r="L10" s="1049"/>
      <c r="M10" s="1049"/>
      <c r="N10" s="43"/>
      <c r="O10" s="935"/>
    </row>
    <row r="11" spans="2:15" ht="20" hidden="1" x14ac:dyDescent="0.2">
      <c r="B11" s="301" t="s">
        <v>230</v>
      </c>
      <c r="C11" s="954">
        <f>+(B147*C10)+31</f>
        <v>88</v>
      </c>
      <c r="G11" s="793" t="s">
        <v>171</v>
      </c>
      <c r="H11" s="756">
        <f>+D2-H7</f>
        <v>688</v>
      </c>
      <c r="I11" s="43"/>
      <c r="J11" s="771" t="s">
        <v>163</v>
      </c>
      <c r="K11" s="761" t="s">
        <v>160</v>
      </c>
      <c r="L11" s="761" t="s">
        <v>161</v>
      </c>
      <c r="M11" s="924"/>
      <c r="N11" s="43"/>
      <c r="O11" s="935"/>
    </row>
    <row r="12" spans="2:15" ht="21" hidden="1" thickBot="1" x14ac:dyDescent="0.25">
      <c r="B12" s="298" t="s">
        <v>57</v>
      </c>
      <c r="C12" s="299">
        <v>747</v>
      </c>
      <c r="D12" s="300"/>
      <c r="G12" s="927"/>
      <c r="H12" s="46"/>
      <c r="I12" s="43"/>
      <c r="J12" s="763">
        <f>(CB30)</f>
        <v>142.7454336954691</v>
      </c>
      <c r="K12" s="763">
        <f>((+H8-H11)/H8*CZ30)</f>
        <v>-89.220045869968004</v>
      </c>
      <c r="L12" s="763">
        <f>(H11/H8*CZ30)</f>
        <v>129.77461217449891</v>
      </c>
      <c r="M12" s="761" t="s">
        <v>168</v>
      </c>
      <c r="N12" s="43"/>
      <c r="O12" s="935"/>
    </row>
    <row r="13" spans="2:15" ht="35.25" hidden="1" customHeight="1" thickBot="1" x14ac:dyDescent="0.25">
      <c r="B13" s="955" t="s">
        <v>232</v>
      </c>
      <c r="C13" s="975">
        <v>29.3</v>
      </c>
      <c r="D13" s="956" t="s">
        <v>222</v>
      </c>
      <c r="G13" s="927"/>
      <c r="H13" s="43"/>
      <c r="I13" s="43"/>
      <c r="J13" s="764">
        <f>ABS($H$1/J12)</f>
        <v>126.09860458584561</v>
      </c>
      <c r="K13" s="764">
        <f>ABS($H$1/K12)</f>
        <v>201.74838316305895</v>
      </c>
      <c r="L13" s="764">
        <f>ABS($H$1/L12)</f>
        <v>138.70201342460302</v>
      </c>
      <c r="M13" s="766" t="s">
        <v>167</v>
      </c>
      <c r="N13" s="43"/>
      <c r="O13" s="935"/>
    </row>
    <row r="14" spans="2:15" ht="21" hidden="1" thickBot="1" x14ac:dyDescent="0.25">
      <c r="B14" s="951" t="s">
        <v>233</v>
      </c>
      <c r="C14" s="953">
        <f>(+B174*C13)+31</f>
        <v>60.3</v>
      </c>
      <c r="D14" s="300"/>
      <c r="G14" s="927"/>
      <c r="H14" s="43"/>
      <c r="I14" s="43"/>
      <c r="J14" s="1045">
        <f>ABS($E$20/CB30)</f>
        <v>56.043824260375821</v>
      </c>
      <c r="K14" s="1045"/>
      <c r="L14" s="1045">
        <f>ABS($E$20/CZ30)</f>
        <v>197.26508575943544</v>
      </c>
      <c r="M14" s="1046" t="s">
        <v>308</v>
      </c>
      <c r="N14" s="43"/>
      <c r="O14" s="935"/>
    </row>
    <row r="15" spans="2:15" ht="25.5" hidden="1" customHeight="1" thickBot="1" x14ac:dyDescent="0.25">
      <c r="B15" s="951" t="s">
        <v>234</v>
      </c>
      <c r="C15" s="953">
        <v>492.38470000000001</v>
      </c>
      <c r="D15" s="956" t="s">
        <v>229</v>
      </c>
      <c r="G15" s="927"/>
      <c r="H15" s="43"/>
      <c r="I15" s="43"/>
      <c r="J15" s="43"/>
      <c r="K15" s="43"/>
      <c r="L15" s="43"/>
      <c r="M15" s="43"/>
      <c r="N15" s="43"/>
      <c r="O15" s="935"/>
    </row>
    <row r="16" spans="2:15" ht="21" hidden="1" thickBot="1" x14ac:dyDescent="0.25">
      <c r="B16" s="302"/>
      <c r="C16" s="302"/>
      <c r="D16" s="300"/>
      <c r="G16" s="793" t="s">
        <v>176</v>
      </c>
      <c r="H16" s="756">
        <f>+D2+H7-BL107</f>
        <v>-22.840473417188832</v>
      </c>
      <c r="I16" s="783" t="s">
        <v>196</v>
      </c>
      <c r="J16" s="1047" t="s">
        <v>177</v>
      </c>
      <c r="K16" s="1054"/>
      <c r="L16" s="1054"/>
      <c r="M16" s="1054"/>
      <c r="N16" s="43"/>
      <c r="O16" s="935"/>
    </row>
    <row r="17" spans="2:108" ht="20" hidden="1" x14ac:dyDescent="0.2">
      <c r="B17" s="302"/>
      <c r="C17" s="302"/>
      <c r="D17" s="300"/>
      <c r="G17" s="927"/>
      <c r="H17" s="46"/>
      <c r="I17" s="798"/>
      <c r="J17" s="761" t="s">
        <v>162</v>
      </c>
      <c r="K17" s="761" t="s">
        <v>170</v>
      </c>
      <c r="L17" s="761"/>
      <c r="M17" s="924"/>
      <c r="N17" s="43"/>
      <c r="O17" s="935"/>
    </row>
    <row r="18" spans="2:108" ht="20" hidden="1" x14ac:dyDescent="0.2">
      <c r="B18" s="37" t="s">
        <v>66</v>
      </c>
      <c r="C18" s="187">
        <v>5800</v>
      </c>
      <c r="D18" s="187">
        <v>10000</v>
      </c>
      <c r="G18" s="927"/>
      <c r="H18" s="43"/>
      <c r="I18" s="43"/>
      <c r="J18" s="763">
        <f>+H16/H8*BQ25</f>
        <v>-19.472831522654481</v>
      </c>
      <c r="K18" s="763">
        <f>((H8-H16)/H8)*BQ25</f>
        <v>202.77283152265449</v>
      </c>
      <c r="L18" s="763"/>
      <c r="M18" s="761" t="s">
        <v>168</v>
      </c>
      <c r="N18" s="43"/>
      <c r="O18" s="935"/>
    </row>
    <row r="19" spans="2:108" ht="20" hidden="1" x14ac:dyDescent="0.2">
      <c r="B19" s="37" t="s">
        <v>67</v>
      </c>
      <c r="C19" s="187">
        <v>5800</v>
      </c>
      <c r="D19" s="187">
        <v>5800</v>
      </c>
      <c r="G19" s="927"/>
      <c r="H19" s="43"/>
      <c r="I19" s="43"/>
      <c r="J19" s="764">
        <f>ABS($H$1/J18)</f>
        <v>924.36479918490511</v>
      </c>
      <c r="K19" s="764">
        <f>ABS($H$1/K18)</f>
        <v>88.769288591745962</v>
      </c>
      <c r="L19" s="764"/>
      <c r="M19" s="766" t="s">
        <v>167</v>
      </c>
      <c r="N19" s="43"/>
      <c r="O19" s="935"/>
    </row>
    <row r="20" spans="2:108" ht="20" hidden="1" x14ac:dyDescent="0.2">
      <c r="B20" s="37" t="s">
        <v>75</v>
      </c>
      <c r="C20" s="187">
        <v>8000</v>
      </c>
      <c r="D20" s="187">
        <v>8000</v>
      </c>
      <c r="E20" s="38">
        <v>8000</v>
      </c>
      <c r="G20" s="927"/>
      <c r="H20" s="43"/>
      <c r="I20" s="43"/>
      <c r="J20" s="1045">
        <f>ABS($E$20/BQ25)</f>
        <v>43.644298963447895</v>
      </c>
      <c r="K20" s="1053"/>
      <c r="L20" s="1053"/>
      <c r="M20" s="1046" t="s">
        <v>308</v>
      </c>
      <c r="N20" s="43"/>
      <c r="O20" s="935"/>
    </row>
    <row r="21" spans="2:108" ht="19" hidden="1" thickBot="1" x14ac:dyDescent="0.25">
      <c r="B21" s="187"/>
      <c r="C21" s="187" t="s">
        <v>18</v>
      </c>
      <c r="D21" s="187" t="s">
        <v>19</v>
      </c>
      <c r="G21" s="927"/>
      <c r="H21" s="43"/>
      <c r="I21" s="43"/>
      <c r="J21" s="43"/>
      <c r="K21" s="43"/>
      <c r="L21" s="43"/>
      <c r="M21" s="43"/>
      <c r="N21" s="43"/>
      <c r="O21" s="935"/>
    </row>
    <row r="22" spans="2:108" ht="21" hidden="1" thickBot="1" x14ac:dyDescent="0.25">
      <c r="B22" s="303" t="s">
        <v>58</v>
      </c>
      <c r="C22" s="187">
        <f>+((C8-C9)/C8)*C7</f>
        <v>113.28293254804113</v>
      </c>
      <c r="D22" s="187">
        <f>+(C9/C8)*C7</f>
        <v>70.01706745195888</v>
      </c>
      <c r="G22" s="793" t="s">
        <v>164</v>
      </c>
      <c r="H22" s="756">
        <f>(+COS(($B$144*-1)*3.14159265358979/180)*(H4))</f>
        <v>860</v>
      </c>
      <c r="I22" s="783" t="s">
        <v>196</v>
      </c>
      <c r="J22" s="1047" t="s">
        <v>199</v>
      </c>
      <c r="K22" s="1054"/>
      <c r="L22" s="1054"/>
      <c r="M22" s="1054"/>
      <c r="N22" s="43"/>
      <c r="O22" s="935"/>
    </row>
    <row r="23" spans="2:108" ht="20" hidden="1" x14ac:dyDescent="0.2">
      <c r="G23" s="793" t="s">
        <v>179</v>
      </c>
      <c r="H23" s="756">
        <f>+BL107-H22+H7</f>
        <v>-149.15952658281117</v>
      </c>
      <c r="I23" s="798"/>
      <c r="J23" s="761"/>
      <c r="K23" s="761" t="s">
        <v>160</v>
      </c>
      <c r="L23" s="761" t="s">
        <v>161</v>
      </c>
      <c r="M23" s="924"/>
      <c r="N23" s="43"/>
      <c r="O23" s="935"/>
    </row>
    <row r="24" spans="2:108" ht="20" hidden="1" x14ac:dyDescent="0.2">
      <c r="E24" s="300"/>
      <c r="F24" s="300"/>
      <c r="G24" s="927"/>
      <c r="H24" s="43"/>
      <c r="I24" s="43"/>
      <c r="J24" s="763"/>
      <c r="K24" s="763">
        <f>((+H8-H23)/H8*BQ25)</f>
        <v>310.46716847734558</v>
      </c>
      <c r="L24" s="763">
        <f>(H23/H8*BQ25)</f>
        <v>-127.16716847734553</v>
      </c>
      <c r="M24" s="761" t="s">
        <v>168</v>
      </c>
      <c r="N24" s="43"/>
      <c r="O24" s="935"/>
    </row>
    <row r="25" spans="2:108" ht="30.75" customHeight="1" thickBot="1" x14ac:dyDescent="0.25">
      <c r="E25" s="300"/>
      <c r="F25" s="300"/>
      <c r="G25" s="927"/>
      <c r="H25" s="43"/>
      <c r="I25" s="43"/>
      <c r="J25" s="764"/>
      <c r="K25" s="764">
        <f>ABS($H$1/K24)</f>
        <v>57.977144856504978</v>
      </c>
      <c r="L25" s="764">
        <f>ABS($H$1/L24)</f>
        <v>141.54596831497943</v>
      </c>
      <c r="M25" s="766" t="s">
        <v>167</v>
      </c>
      <c r="N25" s="43"/>
      <c r="O25" s="935"/>
      <c r="BE25" s="58"/>
      <c r="BF25" s="58"/>
      <c r="BG25" s="58"/>
      <c r="BH25" s="58"/>
      <c r="BO25" s="48"/>
      <c r="BP25" s="59" t="s">
        <v>23</v>
      </c>
      <c r="BQ25" s="1105">
        <f>+C7</f>
        <v>183.3</v>
      </c>
      <c r="BR25" s="1105"/>
      <c r="BS25" s="60" t="s">
        <v>15</v>
      </c>
      <c r="BT25" s="60"/>
      <c r="BU25" s="61" t="s">
        <v>303</v>
      </c>
      <c r="BV25" s="62"/>
      <c r="BW25" s="62"/>
      <c r="BX25" s="62"/>
      <c r="BY25" s="62"/>
      <c r="BZ25" s="62"/>
      <c r="CA25" s="62"/>
      <c r="CB25" s="62"/>
      <c r="CC25" s="62"/>
      <c r="CD25" s="62"/>
      <c r="CE25" s="62"/>
      <c r="CF25" s="62"/>
      <c r="CG25" s="62"/>
      <c r="CH25" s="62"/>
      <c r="CI25" s="62"/>
      <c r="CJ25" s="62"/>
      <c r="CK25" s="62"/>
      <c r="CL25" s="62"/>
      <c r="CM25" s="62"/>
      <c r="CN25" s="62"/>
      <c r="CO25" s="62"/>
      <c r="CP25" s="62"/>
      <c r="CQ25" s="62"/>
      <c r="CR25" s="62"/>
      <c r="CS25" s="62"/>
      <c r="CT25" s="62"/>
      <c r="CU25" s="62"/>
      <c r="CV25" s="62"/>
      <c r="CW25" s="62"/>
      <c r="CX25" s="62"/>
      <c r="CY25" s="62"/>
      <c r="CZ25" s="62"/>
      <c r="DA25" s="62"/>
      <c r="DB25" s="62"/>
      <c r="DC25" s="62"/>
      <c r="DD25" s="62"/>
    </row>
    <row r="26" spans="2:108" ht="39" customHeight="1" thickBot="1" x14ac:dyDescent="0.3">
      <c r="E26" s="300"/>
      <c r="F26" s="300"/>
      <c r="G26" s="927"/>
      <c r="H26" s="43"/>
      <c r="I26" s="43"/>
      <c r="J26" s="1045"/>
      <c r="K26" s="1045"/>
      <c r="L26" s="1045">
        <f>ABS($E$20/BQ25)</f>
        <v>43.644298963447895</v>
      </c>
      <c r="M26" s="1046" t="s">
        <v>308</v>
      </c>
      <c r="N26" s="43"/>
      <c r="O26" s="935"/>
      <c r="U26" s="97"/>
      <c r="AB26" s="97"/>
      <c r="AC26" s="97"/>
      <c r="AD26" s="97"/>
      <c r="AE26" s="97"/>
      <c r="BE26" s="68"/>
      <c r="BF26" s="68"/>
      <c r="BG26" s="68"/>
      <c r="BH26" s="68"/>
      <c r="BM26" s="65" t="b">
        <f>AND(BQ27&gt;0,CO27&gt;0)</f>
        <v>1</v>
      </c>
      <c r="BN26" s="752" t="str">
        <f>IF(BM26=TRUE,"","negative force at the motor")</f>
        <v/>
      </c>
      <c r="BO26" s="866" t="s">
        <v>112</v>
      </c>
      <c r="BP26" s="583" t="s">
        <v>25</v>
      </c>
      <c r="BQ26" s="619" t="s">
        <v>26</v>
      </c>
      <c r="BR26" s="620"/>
      <c r="BS26" s="620"/>
      <c r="BT26" s="620"/>
      <c r="BU26" s="620"/>
      <c r="BV26" s="620"/>
      <c r="BW26" s="620"/>
      <c r="BX26" s="620"/>
      <c r="BY26" s="620"/>
      <c r="BZ26" s="620"/>
      <c r="CA26" s="620"/>
      <c r="CB26" s="620"/>
      <c r="CC26" s="620"/>
      <c r="CD26" s="620"/>
      <c r="CE26" s="620"/>
      <c r="CF26" s="620"/>
      <c r="CG26" s="620"/>
      <c r="CH26" s="620"/>
      <c r="CI26" s="699"/>
      <c r="CJ26" s="620"/>
      <c r="CK26" s="700"/>
      <c r="CL26" s="700"/>
      <c r="CM26" s="700"/>
      <c r="CN26" s="700"/>
      <c r="CO26" s="620"/>
      <c r="CP26" s="625" t="s">
        <v>27</v>
      </c>
      <c r="CQ26" s="1092"/>
      <c r="CR26" s="1092"/>
      <c r="CS26" s="1092"/>
      <c r="CT26" s="1092"/>
      <c r="CU26" s="1092"/>
      <c r="CV26" s="1092"/>
      <c r="CW26" s="1092"/>
      <c r="CX26" s="1092"/>
      <c r="CY26" s="1092"/>
      <c r="CZ26" s="1092"/>
      <c r="DA26" s="1093"/>
      <c r="DB26" s="62"/>
      <c r="DC26" s="62"/>
      <c r="DD26" s="62"/>
    </row>
    <row r="27" spans="2:108" ht="29.25" customHeight="1" thickBot="1" x14ac:dyDescent="0.3">
      <c r="E27" s="300"/>
      <c r="F27" s="300"/>
      <c r="G27" s="927"/>
      <c r="H27" s="43"/>
      <c r="I27" s="43"/>
      <c r="J27" s="43"/>
      <c r="K27" s="43"/>
      <c r="L27" s="43"/>
      <c r="M27" s="43"/>
      <c r="N27" s="43"/>
      <c r="O27" s="935"/>
      <c r="BE27" s="68"/>
      <c r="BF27" s="68"/>
      <c r="BG27" s="68"/>
      <c r="BH27" s="68"/>
      <c r="BL27" s="767">
        <v>1</v>
      </c>
      <c r="BM27" s="1055" t="b">
        <f>AND(BO27&gt;=10,$AZ$150&gt;=10,$BA$150&gt;=10,$AZ$177&gt;=10,$BA$177&gt;=10)</f>
        <v>1</v>
      </c>
      <c r="BN27" s="67" t="str">
        <f>IF(BM27=TRUE,"O K","OVERLOAD")</f>
        <v>O K</v>
      </c>
      <c r="BO27" s="781">
        <f>+MIN(J7:L8)</f>
        <v>66.003024785802779</v>
      </c>
      <c r="BP27" s="584" t="s">
        <v>117</v>
      </c>
      <c r="BQ27" s="1100">
        <f>+((D4-D5)/D4)*C7</f>
        <v>62.093433695469109</v>
      </c>
      <c r="BR27" s="1101"/>
      <c r="BS27" s="626"/>
      <c r="BT27" s="626"/>
      <c r="BU27" s="626"/>
      <c r="BV27" s="627"/>
      <c r="BW27" s="627"/>
      <c r="BX27" s="627"/>
      <c r="BY27" s="701"/>
      <c r="BZ27" s="701"/>
      <c r="CA27" s="701"/>
      <c r="CB27" s="701"/>
      <c r="CC27" s="701"/>
      <c r="CD27" s="701"/>
      <c r="CE27" s="701"/>
      <c r="CF27" s="701"/>
      <c r="CG27" s="701"/>
      <c r="CH27" s="701"/>
      <c r="CI27" s="702"/>
      <c r="CJ27" s="626"/>
      <c r="CK27" s="626"/>
      <c r="CL27" s="626"/>
      <c r="CM27" s="627"/>
      <c r="CN27" s="627"/>
      <c r="CO27" s="1090">
        <f>+(D5/D4)*C7</f>
        <v>121.2065663045309</v>
      </c>
      <c r="CP27" s="1091"/>
      <c r="CQ27" s="1094"/>
      <c r="CR27" s="1094"/>
      <c r="CS27" s="1094"/>
      <c r="CT27" s="1094"/>
      <c r="CU27" s="1094"/>
      <c r="CV27" s="1094"/>
      <c r="CW27" s="1094"/>
      <c r="CX27" s="1094"/>
      <c r="CY27" s="1094"/>
      <c r="CZ27" s="1094"/>
      <c r="DA27" s="1095"/>
      <c r="DB27" s="62"/>
      <c r="DC27" s="62"/>
      <c r="DD27" s="62"/>
    </row>
    <row r="28" spans="2:108" ht="26" thickBot="1" x14ac:dyDescent="0.3">
      <c r="E28" s="300"/>
      <c r="F28" s="300"/>
      <c r="G28" s="927"/>
      <c r="H28" s="43"/>
      <c r="I28" s="783">
        <v>60</v>
      </c>
      <c r="J28" s="1047" t="s">
        <v>186</v>
      </c>
      <c r="K28" s="1054"/>
      <c r="L28" s="1054"/>
      <c r="M28" s="1054"/>
      <c r="N28" s="43"/>
      <c r="O28" s="935"/>
      <c r="T28" s="304"/>
      <c r="BE28" s="68"/>
      <c r="BF28" s="68"/>
      <c r="BG28" s="68"/>
      <c r="BH28" s="68"/>
      <c r="BN28" s="69"/>
      <c r="BO28" s="68"/>
      <c r="BP28" s="70"/>
      <c r="BQ28" s="71"/>
      <c r="BR28" s="71"/>
      <c r="BS28" s="70"/>
      <c r="BT28" s="70"/>
      <c r="BU28" s="70"/>
      <c r="BV28" s="70"/>
      <c r="BW28" s="70"/>
      <c r="BX28" s="70"/>
      <c r="BY28" s="70"/>
      <c r="BZ28" s="70"/>
      <c r="CA28" s="70"/>
      <c r="CB28" s="70"/>
      <c r="CC28" s="70"/>
      <c r="CD28" s="70"/>
      <c r="CE28" s="70"/>
      <c r="CF28" s="70"/>
      <c r="CG28" s="70"/>
      <c r="CH28" s="70"/>
      <c r="CJ28" s="60"/>
      <c r="CK28" s="60"/>
      <c r="CL28" s="71"/>
      <c r="CM28" s="72"/>
      <c r="CN28" s="72"/>
      <c r="CO28" s="72"/>
      <c r="CP28" s="72"/>
      <c r="CQ28" s="72"/>
      <c r="CR28" s="72"/>
      <c r="CS28" s="72"/>
      <c r="CT28" s="72"/>
      <c r="CU28" s="72"/>
      <c r="CV28" s="72"/>
      <c r="CW28" s="72"/>
      <c r="CX28" s="72"/>
      <c r="CY28" s="72"/>
      <c r="CZ28" s="72"/>
      <c r="DA28" s="72"/>
      <c r="DB28" s="72"/>
      <c r="DC28" s="62"/>
      <c r="DD28" s="62"/>
    </row>
    <row r="29" spans="2:108" ht="39" customHeight="1" thickBot="1" x14ac:dyDescent="0.3">
      <c r="E29" s="300"/>
      <c r="F29" s="300"/>
      <c r="G29" s="927"/>
      <c r="H29" s="43"/>
      <c r="I29" s="43"/>
      <c r="J29" s="761"/>
      <c r="K29" s="761" t="s">
        <v>160</v>
      </c>
      <c r="L29" s="761" t="s">
        <v>161</v>
      </c>
      <c r="M29" s="924"/>
      <c r="N29" s="43"/>
      <c r="O29" s="935"/>
      <c r="U29" s="97"/>
      <c r="AB29" s="97"/>
      <c r="AC29" s="97"/>
      <c r="AD29" s="97"/>
      <c r="AE29" s="97"/>
      <c r="BE29" s="68"/>
      <c r="BF29" s="68"/>
      <c r="BG29" s="68"/>
      <c r="BH29" s="68"/>
      <c r="BM29" s="65" t="b">
        <f>AND(CB30&gt;0,CZ30&gt;0)</f>
        <v>1</v>
      </c>
      <c r="BN29" s="752" t="str">
        <f>IF(BM29=TRUE,"","negative force at the motor")</f>
        <v/>
      </c>
      <c r="BO29" s="866" t="s">
        <v>112</v>
      </c>
      <c r="BP29" s="585" t="s">
        <v>25</v>
      </c>
      <c r="BQ29" s="1119"/>
      <c r="BR29" s="1120"/>
      <c r="BS29" s="1120"/>
      <c r="BT29" s="1120"/>
      <c r="BU29" s="1120"/>
      <c r="BV29" s="1120"/>
      <c r="BW29" s="1120"/>
      <c r="BX29" s="1120"/>
      <c r="BY29" s="1120"/>
      <c r="BZ29" s="1120"/>
      <c r="CA29" s="1120"/>
      <c r="CB29" s="615" t="s">
        <v>26</v>
      </c>
      <c r="CC29" s="617"/>
      <c r="CD29" s="617"/>
      <c r="CE29" s="617"/>
      <c r="CF29" s="617"/>
      <c r="CG29" s="617"/>
      <c r="CH29" s="617"/>
      <c r="CI29" s="617"/>
      <c r="CJ29" s="617"/>
      <c r="CK29" s="617"/>
      <c r="CL29" s="617"/>
      <c r="CM29" s="617"/>
      <c r="CN29" s="703"/>
      <c r="CO29" s="608"/>
      <c r="CP29" s="608"/>
      <c r="CQ29" s="608"/>
      <c r="CR29" s="608"/>
      <c r="CS29" s="704"/>
      <c r="CT29" s="704"/>
      <c r="CU29" s="703"/>
      <c r="CV29" s="703"/>
      <c r="CW29" s="703"/>
      <c r="CX29" s="703"/>
      <c r="CY29" s="703"/>
      <c r="CZ29" s="608"/>
      <c r="DA29" s="609" t="s">
        <v>27</v>
      </c>
      <c r="DB29" s="73"/>
      <c r="DC29" s="62"/>
      <c r="DD29" s="62"/>
    </row>
    <row r="30" spans="2:108" ht="32.25" customHeight="1" thickBot="1" x14ac:dyDescent="0.3">
      <c r="E30" s="300"/>
      <c r="F30" s="300"/>
      <c r="G30" s="799"/>
      <c r="H30" s="47"/>
      <c r="I30" s="43"/>
      <c r="J30" s="763"/>
      <c r="K30" s="763">
        <f>((+H8-H23)/H8*BQ25)</f>
        <v>310.46716847734558</v>
      </c>
      <c r="L30" s="763">
        <f>(H23/H8*BQ25)</f>
        <v>-127.16716847734553</v>
      </c>
      <c r="M30" s="761" t="s">
        <v>168</v>
      </c>
      <c r="N30" s="43"/>
      <c r="O30" s="935"/>
      <c r="U30" s="97"/>
      <c r="AB30" s="97"/>
      <c r="AC30" s="97"/>
      <c r="AD30" s="97"/>
      <c r="AE30" s="97"/>
      <c r="BL30" s="767">
        <v>2</v>
      </c>
      <c r="BM30" s="1055" t="b">
        <f>AND(BO30&gt;=10,$AZ$150&gt;=10,$BA$150&gt;=10,$AZ$177&gt;=10,$BA$177&gt;=10)</f>
        <v>1</v>
      </c>
      <c r="BN30" s="67" t="str">
        <f>IF(BM30=TRUE,"O K","OVERLOAD")</f>
        <v>O K</v>
      </c>
      <c r="BO30" s="781">
        <f>+MIN(J13:L14)</f>
        <v>56.043824260375821</v>
      </c>
      <c r="BP30" s="586" t="s">
        <v>111</v>
      </c>
      <c r="BQ30" s="1121"/>
      <c r="BR30" s="1122"/>
      <c r="BS30" s="1122"/>
      <c r="BT30" s="1122"/>
      <c r="BU30" s="1122"/>
      <c r="BV30" s="1122"/>
      <c r="BW30" s="1122"/>
      <c r="BX30" s="1122"/>
      <c r="BY30" s="1122"/>
      <c r="BZ30" s="1122"/>
      <c r="CA30" s="1122"/>
      <c r="CB30" s="1123">
        <f>+((D4-D3)/D4)*C7</f>
        <v>142.7454336954691</v>
      </c>
      <c r="CC30" s="1124"/>
      <c r="CD30" s="705"/>
      <c r="CE30" s="705"/>
      <c r="CF30" s="705"/>
      <c r="CG30" s="705"/>
      <c r="CH30" s="705"/>
      <c r="CI30" s="705"/>
      <c r="CJ30" s="705"/>
      <c r="CK30" s="705"/>
      <c r="CL30" s="705"/>
      <c r="CM30" s="705"/>
      <c r="CN30" s="706"/>
      <c r="CO30" s="707"/>
      <c r="CP30" s="707"/>
      <c r="CQ30" s="707"/>
      <c r="CR30" s="707"/>
      <c r="CS30" s="708"/>
      <c r="CT30" s="708"/>
      <c r="CU30" s="698"/>
      <c r="CV30" s="698"/>
      <c r="CW30" s="698"/>
      <c r="CX30" s="698"/>
      <c r="CY30" s="698"/>
      <c r="CZ30" s="1088">
        <f>+(D3/D4)*C7</f>
        <v>40.554566304530908</v>
      </c>
      <c r="DA30" s="1089"/>
      <c r="DB30" s="75"/>
      <c r="DC30" s="62"/>
      <c r="DD30" s="62"/>
    </row>
    <row r="31" spans="2:108" ht="24" thickBot="1" x14ac:dyDescent="0.3">
      <c r="E31" s="300"/>
      <c r="F31" s="300"/>
      <c r="G31" s="799"/>
      <c r="H31" s="47"/>
      <c r="I31" s="43"/>
      <c r="J31" s="764"/>
      <c r="K31" s="764">
        <f>ABS($H$1/K30)</f>
        <v>57.977144856504978</v>
      </c>
      <c r="L31" s="764">
        <f>ABS($H$1/L30)</f>
        <v>141.54596831497943</v>
      </c>
      <c r="M31" s="766" t="s">
        <v>167</v>
      </c>
      <c r="N31" s="43"/>
      <c r="O31" s="935"/>
      <c r="U31" s="97"/>
      <c r="AB31" s="97"/>
      <c r="AC31" s="97"/>
      <c r="AD31" s="97"/>
      <c r="AE31" s="97"/>
      <c r="BN31" s="69"/>
      <c r="BO31" s="11"/>
      <c r="BP31" s="76"/>
      <c r="BQ31" s="76"/>
      <c r="BR31" s="76"/>
      <c r="BS31" s="76"/>
      <c r="BT31" s="76"/>
      <c r="BU31" s="76"/>
      <c r="BV31" s="76"/>
      <c r="BW31" s="76"/>
      <c r="BX31" s="76"/>
      <c r="BY31" s="77"/>
      <c r="BZ31" s="77"/>
      <c r="CA31" s="72"/>
      <c r="CB31" s="72"/>
      <c r="CC31" s="72"/>
      <c r="CD31" s="72"/>
      <c r="CE31" s="72"/>
      <c r="CF31" s="72"/>
      <c r="CG31" s="72"/>
      <c r="CH31" s="72"/>
      <c r="CI31" s="72"/>
      <c r="CJ31" s="72"/>
      <c r="CK31" s="72"/>
      <c r="CL31" s="72"/>
      <c r="CM31" s="72"/>
      <c r="CN31" s="26"/>
      <c r="CO31" s="78"/>
      <c r="CP31" s="78"/>
      <c r="CQ31" s="78"/>
      <c r="CR31" s="78"/>
      <c r="CS31" s="75"/>
      <c r="CT31" s="75"/>
      <c r="CU31" s="75"/>
      <c r="CV31" s="75"/>
      <c r="CW31" s="75"/>
      <c r="CX31" s="75"/>
      <c r="CY31" s="75"/>
      <c r="CZ31" s="75"/>
      <c r="DA31" s="75"/>
      <c r="DB31" s="75"/>
      <c r="DC31" s="62"/>
      <c r="DD31" s="62"/>
    </row>
    <row r="32" spans="2:108" ht="39" customHeight="1" thickBot="1" x14ac:dyDescent="0.25">
      <c r="E32" s="300"/>
      <c r="F32" s="300"/>
      <c r="G32" s="799"/>
      <c r="H32" s="47"/>
      <c r="I32" s="43"/>
      <c r="J32" s="1045"/>
      <c r="K32" s="1045"/>
      <c r="L32" s="1045">
        <f>ABS($E$20/BQ25)*2</f>
        <v>87.28859792689579</v>
      </c>
      <c r="M32" s="1046" t="s">
        <v>308</v>
      </c>
      <c r="N32" s="1052" t="s">
        <v>309</v>
      </c>
      <c r="O32" s="935"/>
      <c r="U32" s="97"/>
      <c r="AB32" s="97"/>
      <c r="AC32" s="97"/>
      <c r="AD32" s="97"/>
      <c r="AE32" s="97"/>
      <c r="BM32" s="65" t="b">
        <f>AND(CB33&gt;0,CQ33&gt;0)</f>
        <v>1</v>
      </c>
      <c r="BN32" s="752" t="str">
        <f>IF(BM32=TRUE,"","negative force at the motor")</f>
        <v/>
      </c>
      <c r="BO32" s="866" t="s">
        <v>112</v>
      </c>
      <c r="BP32" s="587" t="s">
        <v>25</v>
      </c>
      <c r="BQ32" s="1125"/>
      <c r="BR32" s="1126"/>
      <c r="BS32" s="1126"/>
      <c r="BT32" s="1126"/>
      <c r="BU32" s="1126"/>
      <c r="BV32" s="1126"/>
      <c r="BW32" s="1126"/>
      <c r="BX32" s="1126"/>
      <c r="BY32" s="1126"/>
      <c r="BZ32" s="1126"/>
      <c r="CA32" s="1126"/>
      <c r="CB32" s="709" t="s">
        <v>26</v>
      </c>
      <c r="CC32" s="710"/>
      <c r="CD32" s="710"/>
      <c r="CE32" s="710"/>
      <c r="CF32" s="710"/>
      <c r="CG32" s="710"/>
      <c r="CH32" s="710"/>
      <c r="CI32" s="711"/>
      <c r="CJ32" s="710"/>
      <c r="CK32" s="712"/>
      <c r="CL32" s="712"/>
      <c r="CM32" s="710"/>
      <c r="CN32" s="710"/>
      <c r="CO32" s="710"/>
      <c r="CP32" s="710"/>
      <c r="CQ32" s="710"/>
      <c r="CR32" s="713" t="s">
        <v>27</v>
      </c>
      <c r="CS32" s="1092"/>
      <c r="CT32" s="1092"/>
      <c r="CU32" s="1092"/>
      <c r="CV32" s="1092"/>
      <c r="CW32" s="1092"/>
      <c r="CX32" s="1092"/>
      <c r="CY32" s="1092"/>
      <c r="CZ32" s="1092"/>
      <c r="DA32" s="1093"/>
      <c r="DB32" s="72"/>
      <c r="DC32" s="62"/>
      <c r="DD32" s="62"/>
    </row>
    <row r="33" spans="5:141" ht="32.25" customHeight="1" thickBot="1" x14ac:dyDescent="0.3">
      <c r="E33" s="300"/>
      <c r="F33" s="300"/>
      <c r="G33" s="799"/>
      <c r="H33" s="47"/>
      <c r="I33" s="43"/>
      <c r="J33" s="43"/>
      <c r="K33" s="43"/>
      <c r="L33" s="43"/>
      <c r="M33" s="43"/>
      <c r="N33" s="43"/>
      <c r="O33" s="935"/>
      <c r="U33" s="97"/>
      <c r="AB33" s="97"/>
      <c r="AC33" s="97"/>
      <c r="AD33" s="97"/>
      <c r="AE33" s="97"/>
      <c r="BL33" s="767">
        <v>3</v>
      </c>
      <c r="BM33" s="1055" t="b">
        <f>AND(BO33&gt;=10,$AZ$150&gt;=10,$BA$150&gt;=10,$AZ$177&gt;=10,$BA$177&gt;=10)</f>
        <v>1</v>
      </c>
      <c r="BN33" s="67" t="str">
        <f>IF(BM33=TRUE,"O K","OVERLOAD")</f>
        <v>O K</v>
      </c>
      <c r="BO33" s="862">
        <f>+$E$20/(MAX(CB33,CQ33))</f>
        <v>66.703637074596813</v>
      </c>
      <c r="BP33" s="588" t="s">
        <v>108</v>
      </c>
      <c r="BQ33" s="1127"/>
      <c r="BR33" s="1128"/>
      <c r="BS33" s="1128"/>
      <c r="BT33" s="1128"/>
      <c r="BU33" s="1128"/>
      <c r="BV33" s="1128"/>
      <c r="BW33" s="1128"/>
      <c r="BX33" s="1128"/>
      <c r="BY33" s="1128"/>
      <c r="BZ33" s="1128"/>
      <c r="CA33" s="1128"/>
      <c r="CB33" s="1098">
        <f>+((D2-D3)/D2)*C7</f>
        <v>119.93349014917048</v>
      </c>
      <c r="CC33" s="1099"/>
      <c r="CD33" s="714"/>
      <c r="CE33" s="714"/>
      <c r="CF33" s="714"/>
      <c r="CG33" s="714"/>
      <c r="CH33" s="714"/>
      <c r="CI33" s="715"/>
      <c r="CJ33" s="714"/>
      <c r="CK33" s="716"/>
      <c r="CL33" s="716"/>
      <c r="CM33" s="717"/>
      <c r="CN33" s="717"/>
      <c r="CO33" s="717"/>
      <c r="CP33" s="717"/>
      <c r="CQ33" s="1129">
        <f>+(D3/D2)*C7</f>
        <v>63.366509850829537</v>
      </c>
      <c r="CR33" s="1130"/>
      <c r="CS33" s="1094"/>
      <c r="CT33" s="1094"/>
      <c r="CU33" s="1094"/>
      <c r="CV33" s="1094"/>
      <c r="CW33" s="1094"/>
      <c r="CX33" s="1094"/>
      <c r="CY33" s="1094"/>
      <c r="CZ33" s="1094"/>
      <c r="DA33" s="1095"/>
      <c r="DB33" s="72"/>
      <c r="DC33" s="62"/>
      <c r="DD33" s="62"/>
    </row>
    <row r="34" spans="5:141" ht="24" hidden="1" thickBot="1" x14ac:dyDescent="0.3">
      <c r="G34" s="799"/>
      <c r="H34" s="47"/>
      <c r="I34" s="783">
        <v>61</v>
      </c>
      <c r="J34" s="1047" t="s">
        <v>200</v>
      </c>
      <c r="K34" s="1054"/>
      <c r="L34" s="1054"/>
      <c r="M34" s="1054"/>
      <c r="N34" s="43"/>
      <c r="O34" s="935"/>
      <c r="BN34" s="69"/>
      <c r="BO34" s="11"/>
      <c r="BP34" s="76"/>
      <c r="BQ34" s="76"/>
      <c r="BR34" s="76"/>
      <c r="BS34" s="76"/>
      <c r="BT34" s="76"/>
      <c r="BU34" s="76"/>
      <c r="BV34" s="76"/>
      <c r="BW34" s="76"/>
      <c r="BX34" s="76"/>
      <c r="BY34" s="77"/>
      <c r="BZ34" s="77"/>
      <c r="CA34" s="72"/>
      <c r="CB34" s="72"/>
      <c r="CC34" s="72"/>
      <c r="CD34" s="72"/>
      <c r="CE34" s="72"/>
      <c r="CF34" s="72"/>
      <c r="CG34" s="72"/>
      <c r="CH34" s="72"/>
      <c r="CI34" s="72"/>
      <c r="CJ34" s="72"/>
      <c r="CK34" s="76"/>
      <c r="CL34" s="72"/>
      <c r="CM34" s="72"/>
      <c r="CN34" s="26"/>
      <c r="CO34" s="78"/>
      <c r="CP34" s="78"/>
      <c r="CQ34" s="78"/>
      <c r="CR34" s="78"/>
      <c r="CS34" s="75"/>
      <c r="CT34" s="75"/>
      <c r="CU34" s="75"/>
      <c r="CV34" s="75"/>
      <c r="CW34" s="75"/>
      <c r="CX34" s="75"/>
      <c r="CY34" s="75"/>
      <c r="CZ34" s="75"/>
      <c r="DA34" s="75"/>
      <c r="DB34" s="75"/>
      <c r="DC34" s="62"/>
      <c r="DD34" s="62"/>
    </row>
    <row r="35" spans="5:141" ht="20" hidden="1" x14ac:dyDescent="0.2">
      <c r="G35" s="799"/>
      <c r="H35" s="47"/>
      <c r="I35" s="43"/>
      <c r="J35" s="761" t="s">
        <v>162</v>
      </c>
      <c r="K35" s="761" t="s">
        <v>170</v>
      </c>
      <c r="L35" s="761"/>
      <c r="M35" s="924"/>
      <c r="N35" s="43"/>
      <c r="O35" s="935"/>
      <c r="BN35" s="69"/>
      <c r="EJ35" s="62"/>
      <c r="EK35" s="62"/>
    </row>
    <row r="36" spans="5:141" ht="20" hidden="1" x14ac:dyDescent="0.2">
      <c r="G36" s="799"/>
      <c r="H36" s="47"/>
      <c r="I36" s="43"/>
      <c r="J36" s="763">
        <f>+H16/H8*BQ25</f>
        <v>-19.472831522654481</v>
      </c>
      <c r="K36" s="763">
        <f>((H8-H16)/H8)*BQ25</f>
        <v>202.77283152265449</v>
      </c>
      <c r="L36" s="763"/>
      <c r="M36" s="761" t="s">
        <v>168</v>
      </c>
      <c r="N36" s="43"/>
      <c r="O36" s="935"/>
      <c r="BN36" s="69"/>
      <c r="EJ36" s="62"/>
      <c r="EK36" s="62"/>
    </row>
    <row r="37" spans="5:141" ht="23" hidden="1" x14ac:dyDescent="0.25">
      <c r="G37" s="799"/>
      <c r="H37" s="47"/>
      <c r="I37" s="43"/>
      <c r="J37" s="764">
        <f>ABS($H$1/J36)</f>
        <v>924.36479918490511</v>
      </c>
      <c r="K37" s="764">
        <f>ABS($H$1/K36)</f>
        <v>88.769288591745962</v>
      </c>
      <c r="L37" s="764"/>
      <c r="M37" s="766" t="s">
        <v>167</v>
      </c>
      <c r="N37" s="43"/>
      <c r="O37" s="935"/>
      <c r="BN37" s="69"/>
      <c r="BO37" s="10"/>
      <c r="BP37" s="160"/>
      <c r="BQ37" s="161"/>
      <c r="BR37" s="161"/>
      <c r="BS37" s="161"/>
      <c r="BT37" s="161"/>
      <c r="BU37" s="161"/>
      <c r="BV37" s="161"/>
      <c r="BW37" s="161"/>
      <c r="BX37" s="161"/>
      <c r="BY37" s="162"/>
      <c r="BZ37" s="162"/>
      <c r="CA37" s="163"/>
      <c r="CB37" s="163"/>
      <c r="CC37" s="163"/>
      <c r="CD37" s="163"/>
      <c r="CE37" s="163"/>
      <c r="CF37" s="163"/>
      <c r="CG37" s="163"/>
      <c r="CH37" s="163"/>
      <c r="CI37" s="26"/>
      <c r="CJ37" s="72"/>
      <c r="CK37" s="164"/>
      <c r="CL37" s="164"/>
      <c r="CM37" s="72"/>
      <c r="CN37" s="72"/>
      <c r="CO37" s="72"/>
      <c r="CP37" s="72"/>
      <c r="CQ37" s="72"/>
      <c r="CR37" s="72"/>
      <c r="CS37" s="72"/>
      <c r="CT37" s="72"/>
      <c r="CU37" s="72"/>
      <c r="CV37" s="72"/>
      <c r="CW37" s="161"/>
      <c r="CX37" s="161"/>
      <c r="CY37" s="161"/>
      <c r="CZ37" s="161"/>
      <c r="DA37" s="161"/>
      <c r="DB37" s="161"/>
      <c r="DC37" s="161"/>
      <c r="DD37" s="161"/>
      <c r="EJ37" s="62"/>
      <c r="EK37" s="62"/>
    </row>
    <row r="38" spans="5:141" ht="24" hidden="1" thickBot="1" x14ac:dyDescent="0.3">
      <c r="G38" s="799"/>
      <c r="H38" s="47"/>
      <c r="I38" s="43"/>
      <c r="J38" s="1045">
        <f>ABS($E$20/BQ25)*2</f>
        <v>87.28859792689579</v>
      </c>
      <c r="K38" s="1045"/>
      <c r="L38" s="1045"/>
      <c r="M38" s="1046" t="s">
        <v>308</v>
      </c>
      <c r="N38" s="1052" t="s">
        <v>309</v>
      </c>
      <c r="O38" s="935"/>
      <c r="BN38" s="69"/>
      <c r="BO38" s="10"/>
      <c r="BP38" s="160"/>
      <c r="BQ38" s="161"/>
      <c r="BR38" s="161"/>
      <c r="BS38" s="161"/>
      <c r="BT38" s="161"/>
      <c r="BU38" s="161"/>
      <c r="BV38" s="161"/>
      <c r="BW38" s="161"/>
      <c r="BX38" s="161"/>
      <c r="BY38" s="162"/>
      <c r="BZ38" s="162"/>
      <c r="CA38" s="163"/>
      <c r="CB38" s="163"/>
      <c r="CC38" s="163"/>
      <c r="CD38" s="163"/>
      <c r="CE38" s="163"/>
      <c r="CF38" s="163"/>
      <c r="CG38" s="163"/>
      <c r="CH38" s="163"/>
      <c r="CI38" s="26"/>
      <c r="CJ38" s="72"/>
      <c r="CK38" s="164"/>
      <c r="CL38" s="164"/>
      <c r="CM38" s="72"/>
      <c r="CN38" s="72"/>
      <c r="CO38" s="72"/>
      <c r="CP38" s="72"/>
      <c r="CQ38" s="72"/>
      <c r="CR38" s="72"/>
      <c r="CS38" s="72"/>
      <c r="CT38" s="72"/>
      <c r="CU38" s="72"/>
      <c r="CV38" s="72"/>
      <c r="CW38" s="161"/>
      <c r="CX38" s="161"/>
      <c r="CY38" s="161"/>
      <c r="CZ38" s="161"/>
      <c r="DA38" s="161"/>
      <c r="DB38" s="161"/>
      <c r="DC38" s="161"/>
      <c r="DD38" s="161"/>
      <c r="EJ38" s="62"/>
      <c r="EK38" s="62"/>
    </row>
    <row r="39" spans="5:141" ht="24" hidden="1" thickBot="1" x14ac:dyDescent="0.3">
      <c r="G39" s="927"/>
      <c r="H39" s="43"/>
      <c r="I39" s="43"/>
      <c r="J39" s="43"/>
      <c r="K39" s="43"/>
      <c r="L39" s="43"/>
      <c r="M39" s="43"/>
      <c r="N39" s="43"/>
      <c r="O39" s="935"/>
      <c r="BN39" s="69"/>
      <c r="BO39" s="10"/>
      <c r="BP39" s="160"/>
      <c r="BQ39" s="161"/>
      <c r="BR39" s="161"/>
      <c r="BS39" s="161"/>
      <c r="BT39" s="161"/>
      <c r="BU39" s="161"/>
      <c r="BV39" s="161"/>
      <c r="BW39" s="161"/>
      <c r="BX39" s="161"/>
      <c r="BY39" s="162"/>
      <c r="BZ39" s="162"/>
      <c r="CA39" s="165">
        <v>16</v>
      </c>
      <c r="CB39" s="163"/>
      <c r="CC39" s="163"/>
      <c r="CD39" s="163"/>
      <c r="CE39" s="163"/>
      <c r="CF39" s="163"/>
      <c r="CG39" s="163"/>
      <c r="CH39" s="163"/>
      <c r="CI39" s="26"/>
      <c r="CJ39" s="72"/>
      <c r="CK39" s="164"/>
      <c r="CL39" s="164"/>
      <c r="CM39" s="72"/>
      <c r="CN39" s="72"/>
      <c r="CO39" s="72"/>
      <c r="CP39" s="100" t="b">
        <f>IF(CQ98=27,15)</f>
        <v>0</v>
      </c>
      <c r="CQ39" s="166"/>
      <c r="CR39" s="86" t="b">
        <f>IF(CQ98=27,17)</f>
        <v>0</v>
      </c>
      <c r="CS39" s="72"/>
      <c r="CT39" s="72"/>
      <c r="CU39" s="72"/>
      <c r="CV39" s="72"/>
      <c r="CW39" s="161"/>
      <c r="CX39" s="161"/>
      <c r="CY39" s="161"/>
      <c r="CZ39" s="161"/>
      <c r="DA39" s="161"/>
      <c r="DB39" s="161"/>
      <c r="DC39" s="161"/>
      <c r="DD39" s="161"/>
      <c r="EJ39" s="62"/>
      <c r="EK39" s="62"/>
    </row>
    <row r="40" spans="5:141" ht="24" hidden="1" thickBot="1" x14ac:dyDescent="0.3">
      <c r="G40" s="927"/>
      <c r="H40" s="43"/>
      <c r="I40" s="783">
        <v>62</v>
      </c>
      <c r="J40" s="1047" t="s">
        <v>201</v>
      </c>
      <c r="K40" s="1054"/>
      <c r="L40" s="1054"/>
      <c r="M40" s="1054"/>
      <c r="N40" s="43"/>
      <c r="O40" s="935"/>
      <c r="BN40" s="69"/>
      <c r="BO40" s="10"/>
      <c r="BP40" s="160"/>
      <c r="BQ40" s="161"/>
      <c r="BR40" s="161"/>
      <c r="BS40" s="161"/>
      <c r="BT40" s="161"/>
      <c r="BU40" s="161"/>
      <c r="BV40" s="161"/>
      <c r="BW40" s="161"/>
      <c r="BX40" s="161"/>
      <c r="BY40" s="162"/>
      <c r="BZ40" s="162"/>
      <c r="CA40" s="165">
        <v>15</v>
      </c>
      <c r="CB40" s="163"/>
      <c r="CC40" s="163"/>
      <c r="CD40" s="163"/>
      <c r="CE40" s="163"/>
      <c r="CF40" s="163"/>
      <c r="CG40" s="163"/>
      <c r="CH40" s="163"/>
      <c r="CI40" s="26"/>
      <c r="CJ40" s="72"/>
      <c r="CK40" s="164"/>
      <c r="CL40" s="164"/>
      <c r="CM40" s="72"/>
      <c r="CN40" s="100" t="b">
        <f>IF(CP98=26,13)</f>
        <v>0</v>
      </c>
      <c r="CO40" s="166"/>
      <c r="CP40" s="166"/>
      <c r="CQ40" s="166"/>
      <c r="CR40" s="86" t="b">
        <f>IF(CP98=26,17)</f>
        <v>0</v>
      </c>
      <c r="CS40" s="72"/>
      <c r="CT40" s="72"/>
      <c r="CU40" s="72"/>
      <c r="CV40" s="72"/>
      <c r="CW40" s="161"/>
      <c r="CX40" s="161"/>
      <c r="CY40" s="161"/>
      <c r="CZ40" s="161"/>
      <c r="DA40" s="161"/>
      <c r="DB40" s="161"/>
      <c r="DC40" s="161"/>
      <c r="DD40" s="161"/>
      <c r="EJ40" s="62"/>
      <c r="EK40" s="62"/>
    </row>
    <row r="41" spans="5:141" ht="24" hidden="1" thickBot="1" x14ac:dyDescent="0.3">
      <c r="G41" s="927"/>
      <c r="H41" s="800" t="s">
        <v>195</v>
      </c>
      <c r="I41" s="43"/>
      <c r="J41" s="761" t="s">
        <v>162</v>
      </c>
      <c r="K41" s="761" t="s">
        <v>170</v>
      </c>
      <c r="L41" s="771" t="s">
        <v>187</v>
      </c>
      <c r="M41" s="924"/>
      <c r="N41" s="43"/>
      <c r="O41" s="935"/>
      <c r="BN41" s="69"/>
      <c r="BO41" s="10"/>
      <c r="BP41" s="160"/>
      <c r="BQ41" s="161"/>
      <c r="BR41" s="161"/>
      <c r="BS41" s="161"/>
      <c r="BT41" s="161"/>
      <c r="BU41" s="161"/>
      <c r="BV41" s="161"/>
      <c r="BW41" s="161"/>
      <c r="BX41" s="161"/>
      <c r="BY41" s="162"/>
      <c r="BZ41" s="162"/>
      <c r="CA41" s="165">
        <v>14</v>
      </c>
      <c r="CB41" s="163"/>
      <c r="CC41" s="163"/>
      <c r="CD41" s="163"/>
      <c r="CE41" s="163"/>
      <c r="CF41" s="163"/>
      <c r="CG41" s="163"/>
      <c r="CH41" s="163"/>
      <c r="CI41" s="26"/>
      <c r="CJ41" s="72"/>
      <c r="CK41" s="164"/>
      <c r="CL41" s="100" t="b">
        <f>IF(CO98=25,11)</f>
        <v>0</v>
      </c>
      <c r="CM41" s="166"/>
      <c r="CN41" s="167"/>
      <c r="CO41" s="167"/>
      <c r="CP41" s="167"/>
      <c r="CQ41" s="167"/>
      <c r="CR41" s="107" t="b">
        <f>IF(CO98=25,17)</f>
        <v>0</v>
      </c>
      <c r="CS41" s="72"/>
      <c r="CT41" s="72"/>
      <c r="CU41" s="72"/>
      <c r="CV41" s="72"/>
      <c r="CW41" s="161"/>
      <c r="CX41" s="161"/>
      <c r="CY41" s="161"/>
      <c r="CZ41" s="161"/>
      <c r="DA41" s="161"/>
      <c r="DB41" s="161"/>
      <c r="DC41" s="161"/>
      <c r="DD41" s="161"/>
      <c r="EJ41" s="62"/>
      <c r="EK41" s="62"/>
    </row>
    <row r="42" spans="5:141" ht="24" hidden="1" thickBot="1" x14ac:dyDescent="0.3">
      <c r="G42" s="801" t="s">
        <v>190</v>
      </c>
      <c r="H42" s="802">
        <f>SUM(BQ97:CA97)</f>
        <v>10</v>
      </c>
      <c r="I42" s="43"/>
      <c r="J42" s="763">
        <f>+H43/H8*BQ25/2</f>
        <v>128.31</v>
      </c>
      <c r="K42" s="763">
        <f>((H8-H43)/H8)*BQ25/2</f>
        <v>-36.660000000000004</v>
      </c>
      <c r="L42" s="763">
        <f>+BQ25/2</f>
        <v>91.65</v>
      </c>
      <c r="M42" s="761" t="s">
        <v>168</v>
      </c>
      <c r="N42" s="43"/>
      <c r="O42" s="935"/>
      <c r="BN42" s="69"/>
      <c r="BO42" s="863"/>
      <c r="BP42" s="160"/>
      <c r="BQ42" s="161"/>
      <c r="BR42" s="161"/>
      <c r="BS42" s="161"/>
      <c r="BT42" s="161"/>
      <c r="BU42" s="161"/>
      <c r="BV42" s="161"/>
      <c r="BW42" s="161"/>
      <c r="BX42" s="161"/>
      <c r="CA42" s="165">
        <v>13</v>
      </c>
      <c r="CB42" s="161"/>
      <c r="CC42" s="160"/>
      <c r="CD42" s="160"/>
      <c r="CE42" s="160"/>
      <c r="CF42" s="160"/>
      <c r="CG42" s="160"/>
      <c r="CH42" s="160"/>
      <c r="CI42" s="160"/>
      <c r="CJ42" s="100" t="b">
        <f>IF(CN98=24,9)</f>
        <v>0</v>
      </c>
      <c r="CK42" s="168"/>
      <c r="CL42" s="169"/>
      <c r="CM42" s="105"/>
      <c r="CN42" s="169"/>
      <c r="CO42" s="105"/>
      <c r="CP42" s="105"/>
      <c r="CQ42" s="104"/>
      <c r="CR42" s="107" t="b">
        <f>IF(CN98=24,17)</f>
        <v>0</v>
      </c>
      <c r="CS42" s="62"/>
      <c r="CT42" s="62"/>
      <c r="CU42" s="62"/>
      <c r="CV42" s="62"/>
      <c r="CW42" s="62"/>
      <c r="CX42" s="62"/>
      <c r="CY42" s="62"/>
      <c r="CZ42" s="62"/>
      <c r="DA42" s="62"/>
      <c r="DB42" s="62"/>
      <c r="DC42" s="62"/>
      <c r="DD42" s="62"/>
      <c r="EJ42" s="62"/>
      <c r="EK42" s="62"/>
    </row>
    <row r="43" spans="5:141" ht="21" hidden="1" thickBot="1" x14ac:dyDescent="0.25">
      <c r="G43" s="793" t="s">
        <v>188</v>
      </c>
      <c r="H43" s="756">
        <f>$H$5-((H42-1)*$E$2)</f>
        <v>301</v>
      </c>
      <c r="I43" s="43"/>
      <c r="J43" s="764">
        <f>ABS($H$1/J42)</f>
        <v>140.2852466682254</v>
      </c>
      <c r="K43" s="764">
        <f>ABS($H$1/K42)</f>
        <v>490.99836333878881</v>
      </c>
      <c r="L43" s="764">
        <f>ABS($H$1/L42)</f>
        <v>196.39934533551553</v>
      </c>
      <c r="M43" s="766" t="s">
        <v>167</v>
      </c>
      <c r="N43" s="43"/>
      <c r="O43" s="935"/>
      <c r="BN43" s="69"/>
      <c r="BO43" s="863"/>
      <c r="BP43" s="160"/>
      <c r="BQ43" s="160"/>
      <c r="BR43" s="161"/>
      <c r="BS43" s="160"/>
      <c r="BT43" s="160"/>
      <c r="BU43" s="160"/>
      <c r="CA43" s="165">
        <v>12</v>
      </c>
      <c r="CB43" s="161"/>
      <c r="CC43" s="160"/>
      <c r="CD43" s="160"/>
      <c r="CE43" s="160"/>
      <c r="CF43" s="160"/>
      <c r="CG43" s="160"/>
      <c r="CH43" s="100" t="b">
        <f>IF(CM98=23,7)</f>
        <v>0</v>
      </c>
      <c r="CI43" s="168"/>
      <c r="CJ43" s="168"/>
      <c r="CK43" s="101"/>
      <c r="CL43" s="168"/>
      <c r="CM43" s="168"/>
      <c r="CN43" s="168"/>
      <c r="CO43" s="101"/>
      <c r="CP43" s="101"/>
      <c r="CQ43" s="94"/>
      <c r="CR43" s="86" t="b">
        <f>IF(CM98=23,17)</f>
        <v>0</v>
      </c>
      <c r="CS43" s="62"/>
      <c r="CT43" s="62"/>
      <c r="CU43" s="62"/>
      <c r="CV43" s="62"/>
      <c r="CW43" s="62"/>
      <c r="CX43" s="62"/>
      <c r="CY43" s="62"/>
      <c r="CZ43" s="62"/>
      <c r="DA43" s="62"/>
      <c r="DB43" s="62"/>
      <c r="DC43" s="62"/>
      <c r="DD43" s="62"/>
      <c r="EJ43" s="62"/>
      <c r="EK43" s="62"/>
    </row>
    <row r="44" spans="5:141" ht="21" hidden="1" thickBot="1" x14ac:dyDescent="0.25">
      <c r="G44" s="799"/>
      <c r="H44" s="47"/>
      <c r="I44" s="43"/>
      <c r="J44" s="1045"/>
      <c r="K44" s="1045"/>
      <c r="L44" s="1045">
        <f>ABS($E$20/BQ25)*2</f>
        <v>87.28859792689579</v>
      </c>
      <c r="M44" s="1046" t="s">
        <v>308</v>
      </c>
      <c r="N44" s="1052" t="s">
        <v>309</v>
      </c>
      <c r="O44" s="935"/>
      <c r="BN44" s="69"/>
      <c r="BO44" s="863"/>
      <c r="BP44" s="160"/>
      <c r="BQ44" s="160"/>
      <c r="BR44" s="161"/>
      <c r="BS44" s="160"/>
      <c r="BT44" s="160"/>
      <c r="BU44" s="160"/>
      <c r="CA44" s="165">
        <v>11</v>
      </c>
      <c r="CB44" s="161"/>
      <c r="CC44" s="160"/>
      <c r="CD44" s="160"/>
      <c r="CE44" s="160"/>
      <c r="CF44" s="100" t="b">
        <f>IF(CL98=22,5)</f>
        <v>0</v>
      </c>
      <c r="CG44" s="168"/>
      <c r="CH44" s="168"/>
      <c r="CI44" s="101"/>
      <c r="CJ44" s="168"/>
      <c r="CK44" s="101"/>
      <c r="CL44" s="168"/>
      <c r="CM44" s="101"/>
      <c r="CN44" s="168"/>
      <c r="CO44" s="101"/>
      <c r="CP44" s="101"/>
      <c r="CQ44" s="94"/>
      <c r="CR44" s="86" t="b">
        <f>IF(CL98=22,17)</f>
        <v>0</v>
      </c>
      <c r="CS44" s="62"/>
      <c r="CT44" s="62"/>
      <c r="CU44" s="62"/>
      <c r="CV44" s="62"/>
      <c r="CW44" s="62"/>
      <c r="CX44" s="62"/>
      <c r="CY44" s="62"/>
      <c r="CZ44" s="62"/>
      <c r="DA44" s="62"/>
      <c r="DB44" s="62"/>
      <c r="DC44" s="62"/>
      <c r="DD44" s="62"/>
      <c r="EJ44" s="62"/>
      <c r="EK44" s="62"/>
    </row>
    <row r="45" spans="5:141" ht="21" hidden="1" thickBot="1" x14ac:dyDescent="0.25">
      <c r="G45" s="927"/>
      <c r="H45" s="43"/>
      <c r="I45" s="43"/>
      <c r="J45" s="43"/>
      <c r="K45" s="43"/>
      <c r="L45" s="43"/>
      <c r="M45" s="43"/>
      <c r="N45" s="43"/>
      <c r="O45" s="935"/>
      <c r="BN45" s="69"/>
      <c r="BO45" s="863"/>
      <c r="BP45" s="160"/>
      <c r="BQ45" s="160"/>
      <c r="BR45" s="161"/>
      <c r="BS45" s="160"/>
      <c r="BT45" s="160"/>
      <c r="BU45" s="160"/>
      <c r="CA45" s="165">
        <v>10</v>
      </c>
      <c r="CB45" s="161"/>
      <c r="CC45" s="160"/>
      <c r="CD45" s="100" t="b">
        <f>IF(CK98=21,3)</f>
        <v>0</v>
      </c>
      <c r="CE45" s="168"/>
      <c r="CF45" s="168"/>
      <c r="CG45" s="101"/>
      <c r="CH45" s="101"/>
      <c r="CI45" s="101"/>
      <c r="CJ45" s="168"/>
      <c r="CK45" s="168"/>
      <c r="CL45" s="168"/>
      <c r="CM45" s="101"/>
      <c r="CN45" s="168"/>
      <c r="CO45" s="101"/>
      <c r="CP45" s="101"/>
      <c r="CQ45" s="94"/>
      <c r="CR45" s="86" t="b">
        <f>IF(CK98=21,17)</f>
        <v>0</v>
      </c>
      <c r="CS45" s="62"/>
      <c r="CT45" s="62"/>
      <c r="CU45" s="62"/>
      <c r="CV45" s="62"/>
      <c r="CW45" s="62"/>
      <c r="CX45" s="62"/>
      <c r="CY45" s="62"/>
      <c r="CZ45" s="62"/>
      <c r="DA45" s="62"/>
      <c r="DB45" s="62"/>
      <c r="DC45" s="62"/>
      <c r="DD45" s="62"/>
      <c r="EJ45" s="62"/>
      <c r="EK45" s="62"/>
    </row>
    <row r="46" spans="5:141" ht="21" hidden="1" thickBot="1" x14ac:dyDescent="0.25">
      <c r="G46" s="933"/>
      <c r="H46" s="804" t="s">
        <v>195</v>
      </c>
      <c r="I46" s="783">
        <v>63</v>
      </c>
      <c r="J46" s="1047" t="s">
        <v>202</v>
      </c>
      <c r="K46" s="1054"/>
      <c r="L46" s="1054"/>
      <c r="M46" s="1054"/>
      <c r="N46" s="43"/>
      <c r="O46" s="935"/>
      <c r="BN46" s="69"/>
      <c r="BO46" s="863"/>
      <c r="BP46" s="160"/>
      <c r="BQ46" s="160"/>
      <c r="BR46" s="161"/>
      <c r="BS46" s="160"/>
      <c r="BT46" s="160"/>
      <c r="BU46" s="160"/>
      <c r="CA46" s="165">
        <v>9</v>
      </c>
      <c r="CB46" s="100" t="b">
        <f>IF(CJ98=20,1)</f>
        <v>0</v>
      </c>
      <c r="CC46" s="168"/>
      <c r="CD46" s="168"/>
      <c r="CE46" s="101"/>
      <c r="CF46" s="168"/>
      <c r="CG46" s="168"/>
      <c r="CH46" s="168"/>
      <c r="CI46" s="168"/>
      <c r="CJ46" s="168"/>
      <c r="CK46" s="168"/>
      <c r="CL46" s="168"/>
      <c r="CM46" s="168"/>
      <c r="CN46" s="168"/>
      <c r="CO46" s="101"/>
      <c r="CP46" s="101"/>
      <c r="CQ46" s="94"/>
      <c r="CR46" s="86" t="b">
        <f>IF(CJ98=20,17)</f>
        <v>0</v>
      </c>
      <c r="CS46" s="62"/>
      <c r="CT46" s="62"/>
      <c r="CU46" s="62"/>
      <c r="CV46" s="62"/>
      <c r="CW46" s="62"/>
      <c r="CX46" s="62"/>
      <c r="CY46" s="62"/>
      <c r="CZ46" s="62"/>
      <c r="DA46" s="62"/>
      <c r="DB46" s="62"/>
      <c r="DC46" s="62"/>
      <c r="DD46" s="62"/>
      <c r="EJ46" s="62"/>
      <c r="EK46" s="62"/>
    </row>
    <row r="47" spans="5:141" ht="24" hidden="1" thickBot="1" x14ac:dyDescent="0.3">
      <c r="G47" s="801" t="s">
        <v>190</v>
      </c>
      <c r="H47" s="805">
        <f>SUM(CQ97:DA97)</f>
        <v>0</v>
      </c>
      <c r="I47" s="43"/>
      <c r="J47" s="771" t="s">
        <v>189</v>
      </c>
      <c r="K47" s="761" t="s">
        <v>160</v>
      </c>
      <c r="L47" s="761" t="s">
        <v>161</v>
      </c>
      <c r="M47" s="924"/>
      <c r="N47" s="43"/>
      <c r="O47" s="935"/>
      <c r="BN47" s="69"/>
      <c r="BO47" s="863"/>
      <c r="BP47" s="160"/>
      <c r="BQ47" s="160"/>
      <c r="BR47" s="161"/>
      <c r="BS47" s="160"/>
      <c r="BT47" s="160"/>
      <c r="BU47" s="160"/>
      <c r="CA47" s="165">
        <v>8</v>
      </c>
      <c r="CB47" s="103" t="b">
        <f>IF(CI98=19,1)</f>
        <v>0</v>
      </c>
      <c r="CC47" s="105"/>
      <c r="CD47" s="169"/>
      <c r="CE47" s="169"/>
      <c r="CF47" s="169"/>
      <c r="CG47" s="169"/>
      <c r="CH47" s="169"/>
      <c r="CI47" s="169"/>
      <c r="CJ47" s="169"/>
      <c r="CK47" s="169"/>
      <c r="CL47" s="169"/>
      <c r="CM47" s="169"/>
      <c r="CN47" s="169"/>
      <c r="CO47" s="105"/>
      <c r="CP47" s="107" t="b">
        <f>IF(CI98=19,15)</f>
        <v>0</v>
      </c>
      <c r="CQ47" s="62"/>
      <c r="CR47" s="62"/>
      <c r="CS47" s="62"/>
      <c r="CT47" s="62"/>
      <c r="CU47" s="62"/>
      <c r="CV47" s="62"/>
      <c r="CW47" s="62"/>
      <c r="CX47" s="62"/>
      <c r="CY47" s="62"/>
      <c r="CZ47" s="62"/>
      <c r="DA47" s="62"/>
      <c r="DB47" s="62"/>
      <c r="DC47" s="62"/>
      <c r="DD47" s="62"/>
      <c r="EJ47" s="62"/>
      <c r="EK47" s="62"/>
    </row>
    <row r="48" spans="5:141" ht="21" hidden="1" thickBot="1" x14ac:dyDescent="0.25">
      <c r="G48" s="793" t="s">
        <v>188</v>
      </c>
      <c r="H48" s="756">
        <f>($E$2*(H47-1))-$H$4</f>
        <v>-903</v>
      </c>
      <c r="I48" s="43"/>
      <c r="J48" s="763">
        <f>+BQ25/2</f>
        <v>91.65</v>
      </c>
      <c r="K48" s="763">
        <f>((H8-H48)/H8)*BQ25/2</f>
        <v>476.58000000000004</v>
      </c>
      <c r="L48" s="763">
        <f>+H48/H8*BQ25/2</f>
        <v>-384.93000000000006</v>
      </c>
      <c r="M48" s="761" t="s">
        <v>168</v>
      </c>
      <c r="N48" s="43"/>
      <c r="O48" s="935"/>
      <c r="BN48" s="69"/>
      <c r="BO48" s="863"/>
      <c r="BP48" s="160"/>
      <c r="BQ48" s="160"/>
      <c r="BR48" s="161"/>
      <c r="BS48" s="160"/>
      <c r="BT48" s="160"/>
      <c r="BU48" s="160"/>
      <c r="CA48" s="165">
        <v>7</v>
      </c>
      <c r="CB48" s="103">
        <f>IF(CH98=18,1)</f>
        <v>1</v>
      </c>
      <c r="CC48" s="169"/>
      <c r="CD48" s="169"/>
      <c r="CE48" s="169"/>
      <c r="CF48" s="169"/>
      <c r="CG48" s="169"/>
      <c r="CH48" s="169"/>
      <c r="CI48" s="169"/>
      <c r="CJ48" s="169"/>
      <c r="CK48" s="169"/>
      <c r="CL48" s="169"/>
      <c r="CM48" s="169"/>
      <c r="CN48" s="107">
        <f>IF(CH98=18,13)</f>
        <v>13</v>
      </c>
      <c r="CO48" s="161"/>
      <c r="CQ48" s="62"/>
      <c r="CR48" s="62"/>
      <c r="CS48" s="62"/>
      <c r="CT48" s="62"/>
      <c r="CU48" s="62"/>
      <c r="CV48" s="62"/>
      <c r="CW48" s="62"/>
      <c r="CX48" s="62"/>
      <c r="CY48" s="62"/>
      <c r="CZ48" s="62"/>
      <c r="DA48" s="62"/>
      <c r="DB48" s="62"/>
      <c r="DC48" s="62"/>
      <c r="DD48" s="62"/>
      <c r="EJ48" s="62"/>
      <c r="EK48" s="62"/>
    </row>
    <row r="49" spans="5:141" ht="21" hidden="1" thickBot="1" x14ac:dyDescent="0.25">
      <c r="G49" s="927"/>
      <c r="H49" s="43"/>
      <c r="I49" s="43"/>
      <c r="J49" s="764">
        <f>ABS($H$1/J48)</f>
        <v>196.39934533551553</v>
      </c>
      <c r="K49" s="764">
        <f>ABS($H$1/K48)</f>
        <v>37.769104872214527</v>
      </c>
      <c r="L49" s="764">
        <f>ABS($H$1/L48)</f>
        <v>46.761748889408459</v>
      </c>
      <c r="M49" s="766" t="s">
        <v>167</v>
      </c>
      <c r="O49" s="948"/>
      <c r="BN49" s="69"/>
      <c r="BO49" s="863"/>
      <c r="BP49" s="160"/>
      <c r="BQ49" s="160"/>
      <c r="BR49" s="161"/>
      <c r="BS49" s="160"/>
      <c r="BT49" s="160"/>
      <c r="BU49" s="160"/>
      <c r="CA49" s="165">
        <v>6</v>
      </c>
      <c r="CB49" s="103" t="b">
        <f>IF(CG98=17,1)</f>
        <v>0</v>
      </c>
      <c r="CC49" s="169"/>
      <c r="CD49" s="169"/>
      <c r="CE49" s="169"/>
      <c r="CF49" s="169"/>
      <c r="CG49" s="169"/>
      <c r="CH49" s="169"/>
      <c r="CI49" s="169"/>
      <c r="CJ49" s="169"/>
      <c r="CK49" s="169"/>
      <c r="CL49" s="107" t="b">
        <f>IF(CG98=17,11)</f>
        <v>0</v>
      </c>
      <c r="CM49" s="160"/>
      <c r="CN49" s="160"/>
      <c r="CO49" s="161"/>
      <c r="CQ49" s="62"/>
      <c r="CR49" s="62"/>
      <c r="CS49" s="62"/>
      <c r="CT49" s="62"/>
      <c r="CU49" s="62"/>
      <c r="CV49" s="62"/>
      <c r="CW49" s="62"/>
      <c r="CX49" s="62"/>
      <c r="CY49" s="62"/>
      <c r="CZ49" s="62"/>
      <c r="DA49" s="62"/>
      <c r="DB49" s="62"/>
      <c r="DC49" s="62"/>
      <c r="DD49" s="62"/>
      <c r="EJ49" s="62"/>
      <c r="EK49" s="62"/>
    </row>
    <row r="50" spans="5:141" ht="21" hidden="1" thickBot="1" x14ac:dyDescent="0.25">
      <c r="G50" s="927"/>
      <c r="H50" s="43"/>
      <c r="I50" s="43"/>
      <c r="J50" s="1045">
        <f>ABS($E$20/BQ25)*2</f>
        <v>87.28859792689579</v>
      </c>
      <c r="K50" s="1045"/>
      <c r="L50" s="1045"/>
      <c r="M50" s="1046" t="s">
        <v>308</v>
      </c>
      <c r="N50" s="1052" t="s">
        <v>309</v>
      </c>
      <c r="O50" s="935"/>
      <c r="BN50" s="69"/>
      <c r="BO50" s="863"/>
      <c r="BP50" s="160"/>
      <c r="BQ50" s="160"/>
      <c r="BR50" s="161"/>
      <c r="BS50" s="160"/>
      <c r="BT50" s="160"/>
      <c r="BU50" s="160"/>
      <c r="CA50" s="165">
        <v>5</v>
      </c>
      <c r="CB50" s="100" t="b">
        <f>IF(CF98=16,1)</f>
        <v>0</v>
      </c>
      <c r="CC50" s="168"/>
      <c r="CD50" s="168"/>
      <c r="CE50" s="101"/>
      <c r="CF50" s="168"/>
      <c r="CG50" s="101"/>
      <c r="CH50" s="168"/>
      <c r="CI50" s="168"/>
      <c r="CJ50" s="86" t="b">
        <f>IF(CF98=16,9)</f>
        <v>0</v>
      </c>
      <c r="CK50" s="160"/>
      <c r="CL50" s="160"/>
      <c r="CM50" s="160"/>
      <c r="CN50" s="160"/>
      <c r="CO50" s="161"/>
      <c r="CQ50" s="62"/>
      <c r="CR50" s="62"/>
      <c r="CS50" s="62"/>
      <c r="CT50" s="62"/>
      <c r="CU50" s="62"/>
      <c r="CV50" s="62"/>
      <c r="CW50" s="62"/>
      <c r="CX50" s="62"/>
      <c r="CY50" s="62"/>
      <c r="CZ50" s="62"/>
      <c r="DA50" s="62"/>
      <c r="DB50" s="62"/>
      <c r="DC50" s="62"/>
      <c r="DD50" s="62"/>
      <c r="EJ50" s="62"/>
      <c r="EK50" s="62"/>
    </row>
    <row r="51" spans="5:141" ht="21" hidden="1" thickBot="1" x14ac:dyDescent="0.25">
      <c r="G51" s="927"/>
      <c r="H51" s="43"/>
      <c r="I51" s="43"/>
      <c r="J51" s="43"/>
      <c r="K51" s="43"/>
      <c r="L51" s="43"/>
      <c r="M51" s="43"/>
      <c r="N51" s="43"/>
      <c r="O51" s="935"/>
      <c r="BN51" s="69"/>
      <c r="BO51" s="863"/>
      <c r="BP51" s="160"/>
      <c r="BQ51" s="160"/>
      <c r="BR51" s="161"/>
      <c r="BS51" s="160"/>
      <c r="BT51" s="160"/>
      <c r="BU51" s="160"/>
      <c r="CA51" s="165">
        <v>4</v>
      </c>
      <c r="CB51" s="100" t="b">
        <f>IF(CE98=15,1)</f>
        <v>0</v>
      </c>
      <c r="CC51" s="101"/>
      <c r="CD51" s="101"/>
      <c r="CE51" s="168"/>
      <c r="CF51" s="101"/>
      <c r="CG51" s="101"/>
      <c r="CH51" s="86" t="b">
        <f>IF(CE98=15,7)</f>
        <v>0</v>
      </c>
      <c r="CI51" s="160"/>
      <c r="CJ51" s="160"/>
      <c r="CK51" s="160"/>
      <c r="CL51" s="160"/>
      <c r="CM51" s="160"/>
      <c r="CN51" s="160"/>
      <c r="CO51" s="161"/>
      <c r="CQ51" s="62"/>
      <c r="CR51" s="62"/>
      <c r="CS51" s="62"/>
      <c r="CT51" s="62"/>
      <c r="CU51" s="62"/>
      <c r="CV51" s="62"/>
      <c r="CW51" s="62"/>
      <c r="CX51" s="62"/>
      <c r="CY51" s="62"/>
      <c r="CZ51" s="62"/>
      <c r="DA51" s="62"/>
      <c r="DB51" s="62"/>
      <c r="DC51" s="62"/>
      <c r="DD51" s="62"/>
      <c r="EJ51" s="62"/>
      <c r="EK51" s="62"/>
    </row>
    <row r="52" spans="5:141" ht="21" hidden="1" thickBot="1" x14ac:dyDescent="0.25">
      <c r="G52" s="927"/>
      <c r="H52" s="43"/>
      <c r="I52" s="783">
        <v>64</v>
      </c>
      <c r="J52" s="1047" t="s">
        <v>203</v>
      </c>
      <c r="K52" s="1054"/>
      <c r="L52" s="1054"/>
      <c r="M52" s="1054"/>
      <c r="N52" s="43"/>
      <c r="O52" s="935"/>
      <c r="BN52" s="69"/>
      <c r="BO52" s="863"/>
      <c r="BP52" s="160"/>
      <c r="BQ52" s="160"/>
      <c r="BR52" s="161"/>
      <c r="BS52" s="160"/>
      <c r="BT52" s="160"/>
      <c r="BU52" s="160"/>
      <c r="CA52" s="165">
        <v>3</v>
      </c>
      <c r="CB52" s="103" t="b">
        <f>IF(CD98=14,1)</f>
        <v>0</v>
      </c>
      <c r="CC52" s="169"/>
      <c r="CD52" s="169"/>
      <c r="CE52" s="169"/>
      <c r="CF52" s="107" t="b">
        <f>IF(CD98=14,5)</f>
        <v>0</v>
      </c>
      <c r="CG52" s="160"/>
      <c r="CH52" s="160"/>
      <c r="CI52" s="160"/>
      <c r="CJ52" s="160"/>
      <c r="CK52" s="160"/>
      <c r="CL52" s="160"/>
      <c r="CM52" s="160"/>
      <c r="CN52" s="160"/>
      <c r="CO52" s="161"/>
      <c r="CQ52" s="62"/>
      <c r="CR52" s="62"/>
      <c r="CS52" s="62"/>
      <c r="CT52" s="62"/>
      <c r="CU52" s="62"/>
      <c r="CV52" s="62"/>
      <c r="CW52" s="62"/>
      <c r="CX52" s="62"/>
      <c r="CY52" s="62"/>
      <c r="CZ52" s="62"/>
      <c r="DA52" s="62"/>
      <c r="DB52" s="62"/>
      <c r="DC52" s="62"/>
      <c r="DD52" s="62"/>
      <c r="EJ52" s="62"/>
      <c r="EK52" s="62"/>
    </row>
    <row r="53" spans="5:141" ht="24" hidden="1" thickBot="1" x14ac:dyDescent="0.3">
      <c r="G53" s="801" t="s">
        <v>190</v>
      </c>
      <c r="H53" s="806" t="s">
        <v>197</v>
      </c>
      <c r="I53" s="43"/>
      <c r="J53" s="771" t="s">
        <v>189</v>
      </c>
      <c r="K53" s="761"/>
      <c r="L53" s="771" t="s">
        <v>187</v>
      </c>
      <c r="M53" s="924"/>
      <c r="N53" s="43"/>
      <c r="O53" s="935"/>
      <c r="BN53" s="69"/>
      <c r="BO53" s="863"/>
      <c r="BP53" s="160"/>
      <c r="BQ53" s="160"/>
      <c r="BR53" s="161"/>
      <c r="BS53" s="160"/>
      <c r="BT53" s="160"/>
      <c r="BU53" s="160"/>
      <c r="CA53" s="165">
        <v>2</v>
      </c>
      <c r="CB53" s="103" t="b">
        <f>IF(CC98=13,1)</f>
        <v>0</v>
      </c>
      <c r="CC53" s="169"/>
      <c r="CD53" s="107" t="b">
        <f>IF(CC98=13,3)</f>
        <v>0</v>
      </c>
      <c r="CE53" s="160"/>
      <c r="CF53" s="160"/>
      <c r="CG53" s="160"/>
      <c r="CH53" s="160"/>
      <c r="CI53" s="160"/>
      <c r="CJ53" s="160"/>
      <c r="CK53" s="160"/>
      <c r="CL53" s="160"/>
      <c r="CM53" s="160"/>
      <c r="CN53" s="160"/>
      <c r="CO53" s="161"/>
      <c r="CQ53" s="62"/>
      <c r="CR53" s="62"/>
      <c r="CS53" s="62"/>
      <c r="CT53" s="62"/>
      <c r="CU53" s="62"/>
      <c r="CV53" s="62"/>
      <c r="CW53" s="62"/>
      <c r="CX53" s="62"/>
      <c r="CY53" s="62"/>
      <c r="CZ53" s="62"/>
      <c r="DA53" s="62"/>
      <c r="DB53" s="62"/>
      <c r="DC53" s="62"/>
      <c r="DD53" s="62"/>
      <c r="EJ53" s="62"/>
      <c r="EK53" s="62"/>
    </row>
    <row r="54" spans="5:141" ht="21" thickBot="1" x14ac:dyDescent="0.25">
      <c r="G54" s="793" t="s">
        <v>188</v>
      </c>
      <c r="H54" s="756"/>
      <c r="I54" s="43"/>
      <c r="J54" s="763">
        <f>+((H6-D3)/H6)*BQ25</f>
        <v>110.88113159905197</v>
      </c>
      <c r="K54" s="763"/>
      <c r="L54" s="763">
        <f>+(D3/H6)*BQ25</f>
        <v>72.418868400948043</v>
      </c>
      <c r="M54" s="761" t="s">
        <v>168</v>
      </c>
      <c r="N54" s="43"/>
      <c r="O54" s="935"/>
      <c r="BN54" s="69"/>
      <c r="BO54" s="863"/>
      <c r="BP54" s="160"/>
      <c r="BQ54" s="160"/>
      <c r="BR54" s="161"/>
      <c r="BS54" s="160"/>
      <c r="BT54" s="160"/>
      <c r="BU54" s="160"/>
      <c r="BV54" s="60"/>
      <c r="BW54" s="160"/>
      <c r="CA54" s="160"/>
      <c r="CB54" s="160"/>
      <c r="CC54" s="160"/>
      <c r="CD54" s="160"/>
      <c r="CE54" s="160"/>
      <c r="CF54" s="160"/>
      <c r="CG54" s="160"/>
      <c r="CH54" s="160"/>
      <c r="CI54" s="160"/>
      <c r="CJ54" s="160"/>
      <c r="CK54" s="160"/>
      <c r="CL54" s="161"/>
      <c r="CM54" s="90"/>
      <c r="CN54" s="90"/>
      <c r="CO54" s="90"/>
      <c r="CQ54" s="62"/>
      <c r="CR54" s="62"/>
      <c r="CS54" s="62"/>
      <c r="CT54" s="62"/>
      <c r="CU54" s="62"/>
      <c r="CV54" s="62"/>
      <c r="CW54" s="62"/>
      <c r="CX54" s="62"/>
      <c r="CY54" s="62"/>
      <c r="CZ54" s="62"/>
      <c r="DA54" s="62"/>
      <c r="DB54" s="62"/>
      <c r="DC54" s="62"/>
      <c r="DD54" s="62"/>
      <c r="EJ54" s="62"/>
      <c r="EK54" s="62"/>
    </row>
    <row r="55" spans="5:141" ht="44" thickBot="1" x14ac:dyDescent="0.3">
      <c r="G55" s="799"/>
      <c r="H55" s="47"/>
      <c r="I55" s="43"/>
      <c r="J55" s="764">
        <f>ABS($H$1/J54)</f>
        <v>162.33600559821397</v>
      </c>
      <c r="K55" s="764"/>
      <c r="L55" s="764">
        <f>ABS($H$1/L54)</f>
        <v>248.55400805688868</v>
      </c>
      <c r="M55" s="766" t="s">
        <v>167</v>
      </c>
      <c r="N55" s="43"/>
      <c r="O55" s="935"/>
      <c r="BM55" s="305"/>
      <c r="BN55" s="171"/>
      <c r="BO55" s="866" t="s">
        <v>112</v>
      </c>
      <c r="BP55" s="589" t="s">
        <v>110</v>
      </c>
      <c r="BQ55" s="728"/>
      <c r="BR55" s="729"/>
      <c r="BS55" s="729"/>
      <c r="BT55" s="729"/>
      <c r="BU55" s="729"/>
      <c r="BV55" s="729"/>
      <c r="BW55" s="729"/>
      <c r="BX55" s="729"/>
      <c r="BY55" s="729"/>
      <c r="BZ55" s="729"/>
      <c r="CA55" s="729"/>
      <c r="CB55" s="730">
        <f>SUM(CB39:CB54)</f>
        <v>1</v>
      </c>
      <c r="CC55" s="731">
        <f t="shared" ref="CC55:CR55" si="0">SUM(CC39:CC54)</f>
        <v>0</v>
      </c>
      <c r="CD55" s="731">
        <f t="shared" si="0"/>
        <v>0</v>
      </c>
      <c r="CE55" s="731">
        <f t="shared" si="0"/>
        <v>0</v>
      </c>
      <c r="CF55" s="731">
        <f t="shared" si="0"/>
        <v>0</v>
      </c>
      <c r="CG55" s="731">
        <f t="shared" si="0"/>
        <v>0</v>
      </c>
      <c r="CH55" s="731">
        <f t="shared" si="0"/>
        <v>0</v>
      </c>
      <c r="CI55" s="731">
        <f t="shared" si="0"/>
        <v>0</v>
      </c>
      <c r="CJ55" s="731">
        <f t="shared" si="0"/>
        <v>0</v>
      </c>
      <c r="CK55" s="731">
        <f t="shared" si="0"/>
        <v>0</v>
      </c>
      <c r="CL55" s="731">
        <f t="shared" si="0"/>
        <v>0</v>
      </c>
      <c r="CM55" s="731">
        <f t="shared" si="0"/>
        <v>0</v>
      </c>
      <c r="CN55" s="731">
        <f t="shared" si="0"/>
        <v>13</v>
      </c>
      <c r="CO55" s="731">
        <f t="shared" si="0"/>
        <v>0</v>
      </c>
      <c r="CP55" s="731">
        <f t="shared" si="0"/>
        <v>0</v>
      </c>
      <c r="CQ55" s="731">
        <f t="shared" si="0"/>
        <v>0</v>
      </c>
      <c r="CR55" s="732">
        <f t="shared" si="0"/>
        <v>0</v>
      </c>
      <c r="CS55" s="174"/>
      <c r="CT55" s="174"/>
      <c r="CU55" s="175"/>
      <c r="CV55" s="175"/>
      <c r="CW55" s="175"/>
      <c r="CX55" s="175"/>
      <c r="CY55" s="175"/>
      <c r="CZ55" s="175"/>
      <c r="DA55" s="176"/>
      <c r="DB55" s="72"/>
      <c r="DC55" s="62"/>
      <c r="DD55" s="62"/>
    </row>
    <row r="56" spans="5:141" ht="31" thickBot="1" x14ac:dyDescent="0.3">
      <c r="G56" s="799"/>
      <c r="H56" s="47"/>
      <c r="J56" s="1045">
        <f>ABS($E$20/BQ25)*2</f>
        <v>87.28859792689579</v>
      </c>
      <c r="K56" s="1045"/>
      <c r="L56" s="1045"/>
      <c r="M56" s="1046" t="s">
        <v>308</v>
      </c>
      <c r="N56" s="1052" t="s">
        <v>309</v>
      </c>
      <c r="O56" s="935"/>
      <c r="BL56" s="767">
        <v>4</v>
      </c>
      <c r="BM56" s="1055" t="b">
        <f>AND(BO56&gt;=10,$AZ$150&gt;=10,$BA$150&gt;=10,$AZ$177&gt;=10,$BA$177&gt;=10)</f>
        <v>1</v>
      </c>
      <c r="BN56" s="67" t="str">
        <f>IF(BM56=TRUE,"O K","OVERLOAD")</f>
        <v>O K</v>
      </c>
      <c r="BO56" s="781">
        <f>+$E$20/(BQ25/2)</f>
        <v>87.28859792689579</v>
      </c>
      <c r="BP56" s="177"/>
      <c r="BQ56" s="90"/>
      <c r="BR56" s="91"/>
      <c r="BS56" s="90"/>
      <c r="BT56" s="90"/>
      <c r="BU56" s="90"/>
      <c r="BV56" s="91"/>
      <c r="BW56" s="90"/>
      <c r="BX56" s="90"/>
      <c r="BY56" s="90"/>
      <c r="BZ56" s="90"/>
      <c r="CA56" s="90"/>
      <c r="CB56" s="90"/>
      <c r="CC56" s="90"/>
      <c r="CD56" s="90"/>
      <c r="CE56" s="90"/>
      <c r="CF56" s="179"/>
      <c r="CG56" s="90"/>
      <c r="CH56" s="90"/>
      <c r="CI56" s="90"/>
      <c r="CJ56" s="90"/>
      <c r="CK56" s="90"/>
      <c r="CL56" s="90"/>
      <c r="CM56" s="90"/>
      <c r="CN56" s="90"/>
      <c r="CO56" s="90"/>
      <c r="CP56" s="90"/>
      <c r="CQ56" s="90"/>
      <c r="CR56" s="90"/>
      <c r="CS56" s="62"/>
      <c r="CT56" s="62"/>
      <c r="CU56" s="62"/>
      <c r="CV56" s="62"/>
      <c r="CW56" s="62"/>
      <c r="CX56" s="62"/>
      <c r="CY56" s="62"/>
      <c r="CZ56" s="62"/>
      <c r="DA56" s="62"/>
      <c r="DB56" s="62"/>
      <c r="DC56" s="62"/>
      <c r="DD56" s="62"/>
    </row>
    <row r="57" spans="5:141" ht="15.75" customHeight="1" thickBot="1" x14ac:dyDescent="0.25">
      <c r="G57" s="927"/>
      <c r="H57" s="43"/>
      <c r="I57" s="43"/>
      <c r="J57" s="43"/>
      <c r="K57" s="43"/>
      <c r="L57" s="43"/>
      <c r="M57" s="43"/>
      <c r="N57" s="43"/>
      <c r="O57" s="935"/>
      <c r="BM57" s="305"/>
      <c r="BN57" s="171"/>
      <c r="BO57" s="863"/>
      <c r="BP57" s="62"/>
      <c r="BQ57" s="179"/>
      <c r="BR57" s="179"/>
      <c r="BS57" s="179"/>
      <c r="BT57" s="179"/>
      <c r="BU57" s="179"/>
      <c r="BV57" s="179"/>
      <c r="BW57" s="179"/>
      <c r="BX57" s="179"/>
      <c r="BY57" s="179"/>
      <c r="BZ57" s="179"/>
      <c r="CA57" s="179"/>
      <c r="CB57" s="179"/>
      <c r="CC57" s="179"/>
      <c r="CD57" s="179"/>
      <c r="CE57" s="179"/>
      <c r="CF57" s="179"/>
      <c r="CG57" s="179"/>
      <c r="CH57" s="179"/>
      <c r="CI57" s="179"/>
      <c r="CJ57" s="179"/>
      <c r="CK57" s="179"/>
      <c r="CL57" s="179"/>
      <c r="CM57" s="179"/>
      <c r="CN57" s="179"/>
      <c r="CO57" s="179"/>
      <c r="CP57" s="179"/>
      <c r="CQ57" s="179"/>
      <c r="CR57" s="179"/>
      <c r="CS57" s="179"/>
      <c r="CT57" s="179"/>
      <c r="CU57" s="179"/>
      <c r="CV57" s="179"/>
      <c r="CW57" s="179"/>
      <c r="CX57" s="179"/>
      <c r="CY57" s="179"/>
      <c r="CZ57" s="179"/>
      <c r="DA57" s="179"/>
      <c r="DB57" s="179"/>
      <c r="DC57" s="62"/>
      <c r="DD57" s="62"/>
    </row>
    <row r="58" spans="5:141" ht="30.75" customHeight="1" thickBot="1" x14ac:dyDescent="0.3">
      <c r="G58" s="927"/>
      <c r="H58" s="43"/>
      <c r="I58" s="43"/>
      <c r="J58" s="43"/>
      <c r="K58" s="43"/>
      <c r="L58" s="43"/>
      <c r="M58" s="43"/>
      <c r="N58" s="43"/>
      <c r="O58" s="935"/>
      <c r="BM58" s="305"/>
      <c r="BN58" s="171"/>
      <c r="BO58" s="866" t="s">
        <v>112</v>
      </c>
      <c r="BP58" s="180" t="s">
        <v>113</v>
      </c>
      <c r="BQ58" s="591" t="str">
        <f>IF(BQ99=1,17,"")</f>
        <v/>
      </c>
      <c r="BR58" s="592" t="str">
        <f>IF(BR99=2,16,"")</f>
        <v/>
      </c>
      <c r="BS58" s="592" t="str">
        <f>IF(BS99=3,15,"")</f>
        <v/>
      </c>
      <c r="BT58" s="592" t="str">
        <f>IF(BT99=4,14,"")</f>
        <v/>
      </c>
      <c r="BU58" s="592" t="str">
        <f>IF(BU99=5,13,"")</f>
        <v/>
      </c>
      <c r="BV58" s="592" t="str">
        <f>IF(BV99=6,12,"")</f>
        <v/>
      </c>
      <c r="BW58" s="592" t="str">
        <f>IF(BW99=7,11,"")</f>
        <v/>
      </c>
      <c r="BX58" s="592" t="str">
        <f>IF(BX99=8,10,"")</f>
        <v/>
      </c>
      <c r="BY58" s="592" t="str">
        <f>IF(BY99=9,9,"")</f>
        <v/>
      </c>
      <c r="BZ58" s="592" t="str">
        <f>IF(BZ99=10,8,"")</f>
        <v/>
      </c>
      <c r="CA58" s="592" t="str">
        <f>IF(CA99=11,7,"")</f>
        <v/>
      </c>
      <c r="CB58" s="733" t="str">
        <f>IF(CB99=12,1,"")</f>
        <v/>
      </c>
      <c r="CC58" s="590" t="str">
        <f>IF(CC99=13,2,"")</f>
        <v/>
      </c>
      <c r="CD58" s="590" t="str">
        <f>IF(CD99=14,3,"")</f>
        <v/>
      </c>
      <c r="CE58" s="590" t="str">
        <f>IF(CE99=15,4,"")</f>
        <v/>
      </c>
      <c r="CF58" s="590" t="str">
        <f>IF(CF99=16,5,"")</f>
        <v/>
      </c>
      <c r="CG58" s="590" t="str">
        <f>IF(CG99=17,6,"")</f>
        <v/>
      </c>
      <c r="CH58" s="590">
        <f>IF(CH99=18,7,"")</f>
        <v>7</v>
      </c>
      <c r="CI58" s="590" t="str">
        <f>IF(CI99=19,8,"")</f>
        <v/>
      </c>
      <c r="CJ58" s="590" t="str">
        <f>IF(CJ99=20,9,"")</f>
        <v/>
      </c>
      <c r="CK58" s="590" t="str">
        <f>IF(CK99=21,10,"")</f>
        <v/>
      </c>
      <c r="CL58" s="590" t="str">
        <f>IF(CL99=22,11,"")</f>
        <v/>
      </c>
      <c r="CM58" s="590" t="str">
        <f>IF(CM99=23,12,"")</f>
        <v/>
      </c>
      <c r="CN58" s="590" t="str">
        <f>IF(CN99=24,13,"")</f>
        <v/>
      </c>
      <c r="CO58" s="590" t="str">
        <f>IF(CO99=25,14,"")</f>
        <v/>
      </c>
      <c r="CP58" s="590" t="str">
        <f>IF(CP99=26,15,"")</f>
        <v/>
      </c>
      <c r="CQ58" s="590" t="str">
        <f>IF(CQ99=27,16,"")</f>
        <v/>
      </c>
      <c r="CR58" s="734" t="str">
        <f>IF(CR99=28,17,"")</f>
        <v/>
      </c>
      <c r="CS58" s="599" t="str">
        <f>IF(CS99=29,9,"")</f>
        <v/>
      </c>
      <c r="CT58" s="599" t="str">
        <f>IF(CT99=30,10,"")</f>
        <v/>
      </c>
      <c r="CU58" s="599" t="str">
        <f>IF(CU99=31,11,"")</f>
        <v/>
      </c>
      <c r="CV58" s="599" t="str">
        <f>IF(CV99=32,12,"")</f>
        <v/>
      </c>
      <c r="CW58" s="599" t="str">
        <f>IF(CW99=33,13,"")</f>
        <v/>
      </c>
      <c r="CX58" s="599" t="str">
        <f>IF(CX99=34,14,"")</f>
        <v/>
      </c>
      <c r="CY58" s="599" t="str">
        <f>IF(CY99=35,15,"")</f>
        <v/>
      </c>
      <c r="CZ58" s="599" t="str">
        <f>IF(CZ99=36,16,"")</f>
        <v/>
      </c>
      <c r="DA58" s="600" t="str">
        <f>IF(DA99=37,17,"")</f>
        <v/>
      </c>
      <c r="DB58" s="181"/>
      <c r="DC58" s="62"/>
      <c r="DD58" s="62"/>
    </row>
    <row r="59" spans="5:141" ht="30.75" customHeight="1" thickBot="1" x14ac:dyDescent="0.3">
      <c r="G59" s="927"/>
      <c r="H59" s="43"/>
      <c r="I59" s="43"/>
      <c r="J59" s="43"/>
      <c r="K59" s="43"/>
      <c r="L59" s="43"/>
      <c r="M59" s="43"/>
      <c r="N59" s="43"/>
      <c r="O59" s="935"/>
      <c r="BL59" s="767">
        <v>5</v>
      </c>
      <c r="BM59" s="1055" t="b">
        <f>AND(BO59&gt;=10,$AZ$150&gt;=10,$BA$150&gt;=10,$AZ$177&gt;=10,$BA$177&gt;=10)</f>
        <v>1</v>
      </c>
      <c r="BN59" s="67" t="str">
        <f>IF(BM59=TRUE,"O K","OVERLOAD")</f>
        <v>O K</v>
      </c>
      <c r="BO59" s="781">
        <f>IF(SUM(BQ58:CA58)&gt;0,K85,0)+IF(SUM(CB58:CR58)&gt;0,L85,0)+IF(SUM(CS58:DA58)&gt;0,M85,0)</f>
        <v>43.644298963447895</v>
      </c>
      <c r="BP59" s="631" t="s">
        <v>139</v>
      </c>
      <c r="BQ59" s="632">
        <v>-10</v>
      </c>
      <c r="BR59" s="632">
        <v>-9</v>
      </c>
      <c r="BS59" s="632">
        <v>-8</v>
      </c>
      <c r="BT59" s="632">
        <v>-7</v>
      </c>
      <c r="BU59" s="632">
        <v>-6</v>
      </c>
      <c r="BV59" s="632">
        <v>-5</v>
      </c>
      <c r="BW59" s="632">
        <v>-4</v>
      </c>
      <c r="BX59" s="632">
        <v>-3</v>
      </c>
      <c r="BY59" s="632">
        <v>-2</v>
      </c>
      <c r="BZ59" s="632">
        <v>-1</v>
      </c>
      <c r="CA59" s="632">
        <v>0</v>
      </c>
      <c r="CB59" s="632">
        <v>1</v>
      </c>
      <c r="CC59" s="632">
        <v>2</v>
      </c>
      <c r="CD59" s="632">
        <v>3</v>
      </c>
      <c r="CE59" s="632">
        <v>4</v>
      </c>
      <c r="CF59" s="632">
        <v>5</v>
      </c>
      <c r="CG59" s="632">
        <v>6</v>
      </c>
      <c r="CH59" s="632">
        <v>7</v>
      </c>
      <c r="CI59" s="632">
        <v>8</v>
      </c>
      <c r="CJ59" s="632">
        <v>9</v>
      </c>
      <c r="CK59" s="632">
        <v>10</v>
      </c>
      <c r="CL59" s="632">
        <v>11</v>
      </c>
      <c r="CM59" s="632">
        <v>12</v>
      </c>
      <c r="CN59" s="632">
        <v>13</v>
      </c>
      <c r="CO59" s="632">
        <v>14</v>
      </c>
      <c r="CP59" s="632">
        <v>15</v>
      </c>
      <c r="CQ59" s="632">
        <v>16</v>
      </c>
      <c r="CR59" s="632">
        <v>17</v>
      </c>
      <c r="CS59" s="632">
        <v>18</v>
      </c>
      <c r="CT59" s="632">
        <v>19</v>
      </c>
      <c r="CU59" s="632">
        <v>20</v>
      </c>
      <c r="CV59" s="632">
        <v>21</v>
      </c>
      <c r="CW59" s="632">
        <v>22</v>
      </c>
      <c r="CX59" s="632">
        <v>23</v>
      </c>
      <c r="CY59" s="632">
        <v>24</v>
      </c>
      <c r="CZ59" s="632">
        <v>25</v>
      </c>
      <c r="DA59" s="634">
        <v>26</v>
      </c>
      <c r="DB59" s="181"/>
      <c r="DC59" s="62"/>
      <c r="DD59" s="62"/>
    </row>
    <row r="60" spans="5:141" ht="20" hidden="1" x14ac:dyDescent="0.2">
      <c r="E60" s="300"/>
      <c r="F60" s="300"/>
      <c r="G60" s="927"/>
      <c r="H60" s="43"/>
      <c r="I60" s="43"/>
      <c r="J60" s="43"/>
      <c r="K60" s="43"/>
      <c r="L60" s="43"/>
      <c r="M60" s="43"/>
      <c r="N60" s="43"/>
      <c r="O60" s="935"/>
      <c r="U60" s="97"/>
      <c r="AB60" s="97"/>
      <c r="AC60" s="97"/>
      <c r="AD60" s="97"/>
      <c r="AE60" s="97"/>
      <c r="BM60" s="305"/>
      <c r="BN60" s="119"/>
      <c r="BP60" s="62"/>
      <c r="BQ60" s="182"/>
      <c r="BR60" s="182"/>
      <c r="BS60" s="182"/>
      <c r="BT60" s="182"/>
      <c r="BU60" s="182"/>
      <c r="BV60" s="182"/>
      <c r="BW60" s="182"/>
      <c r="BX60" s="182"/>
      <c r="BY60" s="182"/>
      <c r="BZ60" s="182"/>
      <c r="CA60" s="182"/>
      <c r="CB60" s="182"/>
      <c r="CC60" s="182"/>
      <c r="CD60" s="182"/>
      <c r="CE60" s="182"/>
      <c r="CF60" s="182"/>
      <c r="CG60" s="182"/>
      <c r="CH60" s="182"/>
      <c r="CI60" s="182"/>
      <c r="CJ60" s="182"/>
      <c r="CK60" s="182"/>
      <c r="CL60" s="182"/>
      <c r="CM60" s="182"/>
      <c r="CN60" s="182"/>
      <c r="CO60" s="182"/>
      <c r="CP60" s="182"/>
      <c r="CQ60" s="182"/>
      <c r="CR60" s="182"/>
      <c r="CS60" s="182"/>
      <c r="CT60" s="182"/>
      <c r="CU60" s="182"/>
      <c r="CV60" s="182"/>
      <c r="CW60" s="182"/>
      <c r="CX60" s="182"/>
      <c r="CY60" s="182"/>
      <c r="CZ60" s="182"/>
      <c r="DA60" s="182"/>
      <c r="DB60" s="182"/>
      <c r="DC60" s="62"/>
      <c r="DD60" s="62"/>
    </row>
    <row r="61" spans="5:141" ht="24" hidden="1" thickBot="1" x14ac:dyDescent="0.3">
      <c r="G61" s="927"/>
      <c r="H61" s="43"/>
      <c r="I61" s="43"/>
      <c r="J61" s="43"/>
      <c r="K61" s="43"/>
      <c r="L61" s="43"/>
      <c r="M61" s="43"/>
      <c r="N61" s="43"/>
      <c r="O61" s="935"/>
      <c r="BN61" s="69"/>
      <c r="BO61" s="11"/>
      <c r="BP61" s="79"/>
      <c r="BQ61" s="80"/>
      <c r="BR61" s="80"/>
      <c r="BS61" s="80"/>
      <c r="BT61" s="80"/>
      <c r="BU61" s="80"/>
      <c r="BV61" s="80"/>
      <c r="BW61" s="80"/>
      <c r="BX61" s="80"/>
      <c r="BY61" s="77"/>
      <c r="BZ61" s="77"/>
      <c r="CA61" s="72"/>
      <c r="CB61" s="72"/>
      <c r="CC61" s="72"/>
      <c r="CD61" s="72"/>
      <c r="CE61" s="72"/>
      <c r="CF61" s="72"/>
      <c r="CG61" s="72"/>
      <c r="CH61" s="72"/>
      <c r="CI61" s="72"/>
      <c r="CJ61" s="72"/>
      <c r="CK61" s="72"/>
      <c r="CL61" s="72"/>
      <c r="CM61" s="72"/>
      <c r="CN61" s="26"/>
      <c r="CO61" s="78"/>
      <c r="CP61" s="78"/>
      <c r="CQ61" s="78"/>
      <c r="CR61" s="78"/>
      <c r="CS61" s="75"/>
      <c r="CT61" s="75"/>
      <c r="CU61" s="75"/>
      <c r="CV61" s="75"/>
      <c r="CW61" s="75"/>
      <c r="CX61" s="75"/>
      <c r="CY61" s="75"/>
      <c r="CZ61" s="75"/>
      <c r="DA61" s="75"/>
      <c r="DB61" s="75"/>
      <c r="DC61" s="10"/>
      <c r="DD61" s="62"/>
    </row>
    <row r="62" spans="5:141" ht="24" hidden="1" thickBot="1" x14ac:dyDescent="0.3">
      <c r="G62" s="927"/>
      <c r="H62" s="43"/>
      <c r="I62" s="43"/>
      <c r="J62" s="43"/>
      <c r="K62" s="43"/>
      <c r="L62" s="43"/>
      <c r="M62" s="43"/>
      <c r="N62" s="43"/>
      <c r="O62" s="935"/>
      <c r="BN62" s="69"/>
      <c r="BO62" s="11"/>
      <c r="BP62" s="79">
        <v>36</v>
      </c>
      <c r="BQ62" s="80"/>
      <c r="BR62" s="80"/>
      <c r="BS62" s="80"/>
      <c r="BT62" s="80"/>
      <c r="BU62" s="80"/>
      <c r="BV62" s="80"/>
      <c r="BW62" s="80"/>
      <c r="BX62" s="80"/>
      <c r="BY62" s="77"/>
      <c r="BZ62" s="77"/>
      <c r="CA62" s="72"/>
      <c r="CB62" s="72"/>
      <c r="CC62" s="72"/>
      <c r="CD62" s="72"/>
      <c r="CE62" s="72"/>
      <c r="CF62" s="72"/>
      <c r="CG62" s="72"/>
      <c r="CH62" s="81"/>
      <c r="CI62" s="82"/>
      <c r="CJ62" s="83"/>
      <c r="CK62" s="72"/>
      <c r="CL62" s="72"/>
      <c r="CM62" s="72"/>
      <c r="CN62" s="26"/>
      <c r="CO62" s="78"/>
      <c r="CP62" s="78"/>
      <c r="CQ62" s="78"/>
      <c r="CR62" s="78"/>
      <c r="CS62" s="75"/>
      <c r="CT62" s="75"/>
      <c r="CU62" s="75"/>
      <c r="CV62" s="75"/>
      <c r="CW62" s="75"/>
      <c r="CX62" s="75"/>
      <c r="CY62" s="84" t="b">
        <f>IF(CZ98=36,35)</f>
        <v>0</v>
      </c>
      <c r="CZ62" s="85"/>
      <c r="DA62" s="86" t="b">
        <f>IF(CZ98=36,37)</f>
        <v>0</v>
      </c>
      <c r="DB62" s="75"/>
      <c r="DC62" s="10"/>
      <c r="DD62" s="62"/>
    </row>
    <row r="63" spans="5:141" ht="24" hidden="1" thickBot="1" x14ac:dyDescent="0.3">
      <c r="G63" s="927"/>
      <c r="H63" s="43"/>
      <c r="I63" s="43"/>
      <c r="J63" s="43"/>
      <c r="K63" s="43"/>
      <c r="L63" s="43"/>
      <c r="M63" s="43"/>
      <c r="N63" s="43"/>
      <c r="O63" s="935"/>
      <c r="BN63" s="69"/>
      <c r="BO63" s="11"/>
      <c r="BP63" s="79">
        <v>35</v>
      </c>
      <c r="BQ63" s="80"/>
      <c r="BR63" s="80"/>
      <c r="BS63" s="80"/>
      <c r="BT63" s="80"/>
      <c r="BU63" s="80"/>
      <c r="BV63" s="80"/>
      <c r="BW63" s="80"/>
      <c r="BX63" s="80"/>
      <c r="BY63" s="77"/>
      <c r="BZ63" s="77"/>
      <c r="CA63" s="72"/>
      <c r="CB63" s="72"/>
      <c r="CC63" s="72"/>
      <c r="CD63" s="72"/>
      <c r="CE63" s="72"/>
      <c r="CF63" s="72"/>
      <c r="CG63" s="72"/>
      <c r="CH63" s="87"/>
      <c r="CI63" s="72"/>
      <c r="CJ63" s="88"/>
      <c r="CK63" s="72"/>
      <c r="CL63" s="72"/>
      <c r="CM63" s="72"/>
      <c r="CN63" s="26"/>
      <c r="CO63" s="78"/>
      <c r="CP63" s="78"/>
      <c r="CQ63" s="78"/>
      <c r="CR63" s="78"/>
      <c r="CS63" s="75"/>
      <c r="CT63" s="75"/>
      <c r="CU63" s="75"/>
      <c r="CV63" s="75"/>
      <c r="CW63" s="84" t="b">
        <f>IF(CY98=35,33)</f>
        <v>0</v>
      </c>
      <c r="CX63" s="85"/>
      <c r="CY63" s="85"/>
      <c r="CZ63" s="85"/>
      <c r="DA63" s="86" t="b">
        <f>IF(CY98=35,37)</f>
        <v>0</v>
      </c>
      <c r="DB63" s="75"/>
      <c r="DC63" s="10"/>
      <c r="DD63" s="62"/>
    </row>
    <row r="64" spans="5:141" ht="24" hidden="1" thickBot="1" x14ac:dyDescent="0.3">
      <c r="G64" s="927"/>
      <c r="H64" s="43"/>
      <c r="I64" s="43"/>
      <c r="J64" s="43"/>
      <c r="K64" s="43"/>
      <c r="L64" s="43"/>
      <c r="M64" s="43"/>
      <c r="N64" s="43"/>
      <c r="O64" s="935"/>
      <c r="BN64" s="69"/>
      <c r="BO64" s="11"/>
      <c r="BP64" s="79">
        <v>34</v>
      </c>
      <c r="BQ64" s="80"/>
      <c r="BR64" s="80"/>
      <c r="BS64" s="80"/>
      <c r="BT64" s="80"/>
      <c r="BU64" s="80"/>
      <c r="BV64" s="80"/>
      <c r="BW64" s="80"/>
      <c r="BX64" s="80"/>
      <c r="BY64" s="77"/>
      <c r="BZ64" s="77"/>
      <c r="CA64" s="72"/>
      <c r="CB64" s="72"/>
      <c r="CC64" s="72"/>
      <c r="CD64" s="72"/>
      <c r="CE64" s="72"/>
      <c r="CF64" s="72"/>
      <c r="CG64" s="72"/>
      <c r="CH64" s="87"/>
      <c r="CI64" s="72"/>
      <c r="CJ64" s="88"/>
      <c r="CK64" s="72"/>
      <c r="CL64" s="72"/>
      <c r="CM64" s="72"/>
      <c r="CN64" s="26"/>
      <c r="CO64" s="78"/>
      <c r="CP64" s="78"/>
      <c r="CQ64" s="78"/>
      <c r="CR64" s="78"/>
      <c r="CS64" s="75"/>
      <c r="CT64" s="75"/>
      <c r="CU64" s="84" t="b">
        <f>IF(CX98=34,31)</f>
        <v>0</v>
      </c>
      <c r="CV64" s="85"/>
      <c r="CW64" s="85"/>
      <c r="CX64" s="85"/>
      <c r="CY64" s="85"/>
      <c r="CZ64" s="85"/>
      <c r="DA64" s="86" t="b">
        <f>IF(CX98=34,37)</f>
        <v>0</v>
      </c>
      <c r="DB64" s="75"/>
      <c r="DC64" s="10"/>
      <c r="DD64" s="62"/>
    </row>
    <row r="65" spans="7:108" ht="24" hidden="1" thickBot="1" x14ac:dyDescent="0.3">
      <c r="G65" s="927"/>
      <c r="H65" s="43"/>
      <c r="I65" s="43"/>
      <c r="J65" s="43"/>
      <c r="K65" s="43"/>
      <c r="L65" s="43"/>
      <c r="M65" s="43"/>
      <c r="N65" s="43"/>
      <c r="O65" s="935"/>
      <c r="BN65" s="69"/>
      <c r="BO65" s="11"/>
      <c r="BP65" s="79">
        <v>33</v>
      </c>
      <c r="BQ65" s="80"/>
      <c r="BR65" s="80"/>
      <c r="BS65" s="80"/>
      <c r="BT65" s="80"/>
      <c r="BU65" s="80"/>
      <c r="BV65" s="80"/>
      <c r="BW65" s="80"/>
      <c r="BX65" s="80"/>
      <c r="BY65" s="77"/>
      <c r="BZ65" s="77"/>
      <c r="CA65" s="72"/>
      <c r="CB65" s="72"/>
      <c r="CC65" s="72"/>
      <c r="CD65" s="72"/>
      <c r="CE65" s="72"/>
      <c r="CF65" s="72"/>
      <c r="CG65" s="72"/>
      <c r="CH65" s="87"/>
      <c r="CI65" s="72"/>
      <c r="CJ65" s="88"/>
      <c r="CK65" s="72"/>
      <c r="CL65" s="72"/>
      <c r="CM65" s="72"/>
      <c r="CN65" s="26"/>
      <c r="CO65" s="78"/>
      <c r="CP65" s="78"/>
      <c r="CQ65" s="78"/>
      <c r="CR65" s="78"/>
      <c r="CS65" s="84" t="b">
        <f>IF(CW98=33,29)</f>
        <v>0</v>
      </c>
      <c r="CT65" s="85"/>
      <c r="CU65" s="85"/>
      <c r="CV65" s="85"/>
      <c r="CW65" s="85"/>
      <c r="CX65" s="85"/>
      <c r="CY65" s="85"/>
      <c r="CZ65" s="85"/>
      <c r="DA65" s="86" t="b">
        <f>IF(CW98=33,37)</f>
        <v>0</v>
      </c>
      <c r="DB65" s="75"/>
      <c r="DC65" s="10"/>
      <c r="DD65" s="62"/>
    </row>
    <row r="66" spans="7:108" ht="21" hidden="1" thickBot="1" x14ac:dyDescent="0.25">
      <c r="G66" s="927"/>
      <c r="H66" s="43"/>
      <c r="I66" s="43"/>
      <c r="J66" s="43"/>
      <c r="K66" s="43"/>
      <c r="L66" s="43"/>
      <c r="M66" s="43"/>
      <c r="N66" s="43"/>
      <c r="O66" s="935"/>
      <c r="BN66" s="69"/>
      <c r="BP66" s="79">
        <v>32</v>
      </c>
      <c r="BQ66" s="90"/>
      <c r="BR66" s="90"/>
      <c r="BS66" s="90"/>
      <c r="BT66" s="90"/>
      <c r="BU66" s="90"/>
      <c r="BV66" s="91"/>
      <c r="BW66" s="90"/>
      <c r="BX66" s="90"/>
      <c r="BY66" s="90"/>
      <c r="BZ66" s="90"/>
      <c r="CA66" s="90"/>
      <c r="CB66" s="90"/>
      <c r="CC66" s="90"/>
      <c r="CD66" s="90"/>
      <c r="CE66" s="90"/>
      <c r="CF66" s="90"/>
      <c r="CG66" s="90"/>
      <c r="CH66" s="92"/>
      <c r="CI66" s="90"/>
      <c r="CJ66" s="93"/>
      <c r="CK66" s="90"/>
      <c r="CL66" s="90"/>
      <c r="CM66" s="90"/>
      <c r="CN66" s="91"/>
      <c r="CO66" s="62"/>
      <c r="CP66" s="62"/>
      <c r="CQ66" s="84" t="b">
        <f>IF(CV98=32,27)</f>
        <v>0</v>
      </c>
      <c r="CR66" s="94"/>
      <c r="CS66" s="94"/>
      <c r="CT66" s="94"/>
      <c r="CU66" s="94"/>
      <c r="CV66" s="94"/>
      <c r="CW66" s="94"/>
      <c r="CX66" s="94"/>
      <c r="CY66" s="94"/>
      <c r="CZ66" s="94"/>
      <c r="DA66" s="86" t="b">
        <f>IF(CV98=32,37)</f>
        <v>0</v>
      </c>
      <c r="DB66" s="62"/>
      <c r="DC66" s="62"/>
      <c r="DD66" s="62"/>
    </row>
    <row r="67" spans="7:108" ht="21" hidden="1" thickBot="1" x14ac:dyDescent="0.25">
      <c r="G67" s="927"/>
      <c r="H67" s="43"/>
      <c r="I67" s="43"/>
      <c r="J67" s="43"/>
      <c r="K67" s="43"/>
      <c r="L67" s="43"/>
      <c r="M67" s="43"/>
      <c r="N67" s="43"/>
      <c r="O67" s="935"/>
      <c r="BN67" s="69"/>
      <c r="BP67" s="79">
        <v>31</v>
      </c>
      <c r="BQ67" s="90"/>
      <c r="BR67" s="90"/>
      <c r="BS67" s="90"/>
      <c r="BT67" s="90"/>
      <c r="BU67" s="90"/>
      <c r="BV67" s="91"/>
      <c r="BW67" s="90"/>
      <c r="BX67" s="90"/>
      <c r="BY67" s="90"/>
      <c r="BZ67" s="90"/>
      <c r="CA67" s="90"/>
      <c r="CB67" s="90"/>
      <c r="CC67" s="90"/>
      <c r="CD67" s="90"/>
      <c r="CE67" s="90"/>
      <c r="CF67" s="90"/>
      <c r="CG67" s="90"/>
      <c r="CH67" s="92"/>
      <c r="CI67" s="90"/>
      <c r="CJ67" s="93"/>
      <c r="CK67" s="90"/>
      <c r="CL67" s="90"/>
      <c r="CM67" s="90"/>
      <c r="CN67" s="91"/>
      <c r="CO67" s="84" t="b">
        <f>IF(CU98=31,25)</f>
        <v>0</v>
      </c>
      <c r="CP67" s="94"/>
      <c r="CQ67" s="94"/>
      <c r="CR67" s="94"/>
      <c r="CS67" s="94"/>
      <c r="CT67" s="94"/>
      <c r="CU67" s="94"/>
      <c r="CV67" s="94"/>
      <c r="CW67" s="94"/>
      <c r="CX67" s="94"/>
      <c r="CY67" s="94"/>
      <c r="CZ67" s="94"/>
      <c r="DA67" s="86" t="b">
        <f>IF(CU98=31,37)</f>
        <v>0</v>
      </c>
      <c r="DB67" s="62"/>
      <c r="DC67" s="62"/>
      <c r="DD67" s="62"/>
    </row>
    <row r="68" spans="7:108" ht="21" hidden="1" thickBot="1" x14ac:dyDescent="0.25">
      <c r="G68" s="927"/>
      <c r="H68" s="43"/>
      <c r="I68" s="43"/>
      <c r="J68" s="43"/>
      <c r="K68" s="43"/>
      <c r="L68" s="43"/>
      <c r="M68" s="43"/>
      <c r="N68" s="43"/>
      <c r="O68" s="935"/>
      <c r="BN68" s="69"/>
      <c r="BP68" s="79">
        <v>30</v>
      </c>
      <c r="BQ68" s="90"/>
      <c r="BR68" s="90"/>
      <c r="BS68" s="90"/>
      <c r="BT68" s="90"/>
      <c r="BU68" s="90"/>
      <c r="BV68" s="91"/>
      <c r="BW68" s="90"/>
      <c r="BX68" s="90"/>
      <c r="BY68" s="90"/>
      <c r="BZ68" s="90"/>
      <c r="CA68" s="90"/>
      <c r="CB68" s="90"/>
      <c r="CC68" s="90"/>
      <c r="CD68" s="90"/>
      <c r="CE68" s="90"/>
      <c r="CF68" s="90"/>
      <c r="CG68" s="90"/>
      <c r="CH68" s="92"/>
      <c r="CI68" s="90"/>
      <c r="CJ68" s="93"/>
      <c r="CK68" s="90"/>
      <c r="CL68" s="90"/>
      <c r="CM68" s="84" t="b">
        <f>IF(CT98=30,23)</f>
        <v>0</v>
      </c>
      <c r="CN68" s="95"/>
      <c r="CO68" s="94"/>
      <c r="CP68" s="94"/>
      <c r="CQ68" s="94"/>
      <c r="CR68" s="94"/>
      <c r="CS68" s="94"/>
      <c r="CT68" s="94"/>
      <c r="CU68" s="94"/>
      <c r="CV68" s="94"/>
      <c r="CW68" s="94"/>
      <c r="CX68" s="94"/>
      <c r="CY68" s="94"/>
      <c r="CZ68" s="94"/>
      <c r="DA68" s="86" t="b">
        <f>IF(CT98=30,37)</f>
        <v>0</v>
      </c>
      <c r="DB68" s="62"/>
      <c r="DC68" s="62"/>
      <c r="DD68" s="62"/>
    </row>
    <row r="69" spans="7:108" ht="21" hidden="1" thickBot="1" x14ac:dyDescent="0.25">
      <c r="G69" s="927"/>
      <c r="H69" s="43"/>
      <c r="I69" s="43"/>
      <c r="J69" s="43"/>
      <c r="K69" s="43"/>
      <c r="L69" s="43"/>
      <c r="M69" s="43"/>
      <c r="N69" s="43"/>
      <c r="O69" s="935"/>
      <c r="BN69" s="69"/>
      <c r="BO69" s="97"/>
      <c r="BP69" s="79">
        <v>29</v>
      </c>
      <c r="BQ69" s="62"/>
      <c r="BR69" s="62"/>
      <c r="BS69" s="62"/>
      <c r="BT69" s="62"/>
      <c r="BU69" s="62"/>
      <c r="BV69" s="62"/>
      <c r="BW69" s="62"/>
      <c r="BX69" s="62"/>
      <c r="BY69" s="62"/>
      <c r="BZ69" s="62"/>
      <c r="CA69" s="62"/>
      <c r="CB69" s="62"/>
      <c r="CC69" s="62"/>
      <c r="CD69" s="62"/>
      <c r="CE69" s="62"/>
      <c r="CF69" s="62"/>
      <c r="CG69" s="62"/>
      <c r="CH69" s="98"/>
      <c r="CI69" s="62"/>
      <c r="CJ69" s="99"/>
      <c r="CK69" s="100" t="b">
        <f>IF(CS98=29,21)</f>
        <v>0</v>
      </c>
      <c r="CL69" s="94"/>
      <c r="CM69" s="94"/>
      <c r="CN69" s="94"/>
      <c r="CO69" s="94"/>
      <c r="CP69" s="94"/>
      <c r="CQ69" s="94"/>
      <c r="CR69" s="101"/>
      <c r="CS69" s="94"/>
      <c r="CT69" s="101"/>
      <c r="CU69" s="102"/>
      <c r="CV69" s="102"/>
      <c r="CW69" s="102"/>
      <c r="CX69" s="102"/>
      <c r="CY69" s="102"/>
      <c r="CZ69" s="102"/>
      <c r="DA69" s="86" t="b">
        <f>IF(CS98=29,37)</f>
        <v>0</v>
      </c>
      <c r="DB69" s="60"/>
      <c r="DC69" s="62"/>
      <c r="DD69" s="62"/>
    </row>
    <row r="70" spans="7:108" ht="21" hidden="1" thickBot="1" x14ac:dyDescent="0.25">
      <c r="G70" s="927"/>
      <c r="H70" s="43"/>
      <c r="I70" s="43"/>
      <c r="J70" s="43"/>
      <c r="K70" s="43"/>
      <c r="L70" s="43"/>
      <c r="M70" s="43"/>
      <c r="N70" s="43"/>
      <c r="O70" s="935"/>
      <c r="BN70" s="69"/>
      <c r="BO70" s="97"/>
      <c r="BP70" s="79">
        <v>28</v>
      </c>
      <c r="BQ70" s="62"/>
      <c r="BR70" s="62"/>
      <c r="BS70" s="62"/>
      <c r="BT70" s="62"/>
      <c r="BU70" s="62"/>
      <c r="BV70" s="62"/>
      <c r="BW70" s="62"/>
      <c r="BX70" s="62"/>
      <c r="BY70" s="62"/>
      <c r="BZ70" s="62"/>
      <c r="CA70" s="62"/>
      <c r="CB70" s="62"/>
      <c r="CC70" s="62"/>
      <c r="CD70" s="62"/>
      <c r="CE70" s="62"/>
      <c r="CF70" s="62"/>
      <c r="CG70" s="62"/>
      <c r="CH70" s="98"/>
      <c r="CI70" s="62"/>
      <c r="CJ70" s="99"/>
      <c r="CK70" s="103" t="b">
        <f>IF(CR98=28,21)</f>
        <v>0</v>
      </c>
      <c r="CL70" s="104"/>
      <c r="CM70" s="104"/>
      <c r="CN70" s="104"/>
      <c r="CO70" s="104"/>
      <c r="CP70" s="105"/>
      <c r="CQ70" s="104"/>
      <c r="CR70" s="104"/>
      <c r="CS70" s="104"/>
      <c r="CT70" s="105"/>
      <c r="CU70" s="106"/>
      <c r="CV70" s="106"/>
      <c r="CW70" s="106"/>
      <c r="CX70" s="106"/>
      <c r="CY70" s="107" t="b">
        <f>IF(CR98=28,35)</f>
        <v>0</v>
      </c>
      <c r="CZ70" s="60"/>
      <c r="DA70" s="60"/>
      <c r="DB70" s="60"/>
      <c r="DC70" s="62"/>
      <c r="DD70" s="62"/>
    </row>
    <row r="71" spans="7:108" ht="21" hidden="1" thickBot="1" x14ac:dyDescent="0.25">
      <c r="G71" s="927"/>
      <c r="H71" s="43"/>
      <c r="I71" s="43"/>
      <c r="J71" s="43"/>
      <c r="K71" s="43"/>
      <c r="L71" s="43"/>
      <c r="M71" s="43"/>
      <c r="N71" s="43"/>
      <c r="O71" s="935"/>
      <c r="BN71" s="69"/>
      <c r="BO71" s="97"/>
      <c r="BP71" s="79">
        <v>27</v>
      </c>
      <c r="BQ71" s="62"/>
      <c r="BR71" s="62"/>
      <c r="BS71" s="62"/>
      <c r="BT71" s="62"/>
      <c r="BU71" s="62"/>
      <c r="BV71" s="62"/>
      <c r="BW71" s="62"/>
      <c r="BX71" s="62"/>
      <c r="BY71" s="62"/>
      <c r="BZ71" s="62"/>
      <c r="CA71" s="62"/>
      <c r="CB71" s="62"/>
      <c r="CC71" s="62"/>
      <c r="CD71" s="62"/>
      <c r="CE71" s="62"/>
      <c r="CF71" s="62"/>
      <c r="CG71" s="62"/>
      <c r="CH71" s="98"/>
      <c r="CI71" s="62"/>
      <c r="CJ71" s="99"/>
      <c r="CK71" s="103" t="b">
        <f>IF(CQ98=27,21)</f>
        <v>0</v>
      </c>
      <c r="CL71" s="104"/>
      <c r="CM71" s="104"/>
      <c r="CN71" s="105"/>
      <c r="CO71" s="104"/>
      <c r="CP71" s="104"/>
      <c r="CQ71" s="104"/>
      <c r="CR71" s="104"/>
      <c r="CS71" s="104"/>
      <c r="CT71" s="105"/>
      <c r="CU71" s="106"/>
      <c r="CV71" s="106"/>
      <c r="CW71" s="107" t="b">
        <f>IF(CQ98=27,33)</f>
        <v>0</v>
      </c>
      <c r="CX71" s="60"/>
      <c r="CY71" s="60"/>
      <c r="CZ71" s="60"/>
      <c r="DA71" s="60"/>
      <c r="DB71" s="60"/>
      <c r="DC71" s="62"/>
      <c r="DD71" s="62"/>
    </row>
    <row r="72" spans="7:108" ht="21" hidden="1" thickBot="1" x14ac:dyDescent="0.25">
      <c r="G72" s="927"/>
      <c r="H72" s="43"/>
      <c r="I72" s="43"/>
      <c r="J72" s="43"/>
      <c r="K72" s="43"/>
      <c r="L72" s="43"/>
      <c r="M72" s="43"/>
      <c r="N72" s="43"/>
      <c r="O72" s="935"/>
      <c r="BN72" s="69"/>
      <c r="BP72" s="79">
        <v>26</v>
      </c>
      <c r="BQ72" s="62"/>
      <c r="BR72" s="62"/>
      <c r="BS72" s="62"/>
      <c r="BT72" s="62"/>
      <c r="BU72" s="62"/>
      <c r="BV72" s="62"/>
      <c r="BW72" s="62"/>
      <c r="BX72" s="62"/>
      <c r="BY72" s="62"/>
      <c r="BZ72" s="62"/>
      <c r="CA72" s="62"/>
      <c r="CB72" s="62"/>
      <c r="CC72" s="62"/>
      <c r="CD72" s="62"/>
      <c r="CE72" s="62"/>
      <c r="CF72" s="62"/>
      <c r="CG72" s="62"/>
      <c r="CH72" s="98"/>
      <c r="CI72" s="62"/>
      <c r="CJ72" s="99"/>
      <c r="CK72" s="103" t="b">
        <f>IF(CP98=26,21)</f>
        <v>0</v>
      </c>
      <c r="CL72" s="105"/>
      <c r="CM72" s="104"/>
      <c r="CN72" s="104"/>
      <c r="CO72" s="104"/>
      <c r="CP72" s="104"/>
      <c r="CQ72" s="104"/>
      <c r="CR72" s="104"/>
      <c r="CS72" s="104"/>
      <c r="CT72" s="105"/>
      <c r="CU72" s="107" t="b">
        <f>IF(CP98=26,31)</f>
        <v>0</v>
      </c>
      <c r="CV72" s="60"/>
      <c r="CW72" s="60"/>
      <c r="CX72" s="60"/>
      <c r="CY72" s="60"/>
      <c r="CZ72" s="60"/>
      <c r="DA72" s="60"/>
      <c r="DB72" s="60"/>
      <c r="DC72" s="62"/>
      <c r="DD72" s="62"/>
    </row>
    <row r="73" spans="7:108" ht="21" hidden="1" thickBot="1" x14ac:dyDescent="0.25">
      <c r="G73" s="927"/>
      <c r="H73" s="43"/>
      <c r="I73" s="43"/>
      <c r="J73" s="43"/>
      <c r="K73" s="43"/>
      <c r="L73" s="43"/>
      <c r="M73" s="43"/>
      <c r="N73" s="43"/>
      <c r="O73" s="935"/>
      <c r="BN73" s="69"/>
      <c r="BO73" s="109"/>
      <c r="BP73" s="79">
        <v>25</v>
      </c>
      <c r="BQ73" s="62"/>
      <c r="BR73" s="62"/>
      <c r="BS73" s="62"/>
      <c r="BT73" s="62"/>
      <c r="BU73" s="62"/>
      <c r="BV73" s="62"/>
      <c r="BW73" s="62"/>
      <c r="BX73" s="62"/>
      <c r="BY73" s="62"/>
      <c r="BZ73" s="62"/>
      <c r="CA73" s="62"/>
      <c r="CC73" s="62"/>
      <c r="CD73" s="62"/>
      <c r="CE73" s="62"/>
      <c r="CF73" s="62"/>
      <c r="CG73" s="62"/>
      <c r="CH73" s="98"/>
      <c r="CI73" s="62"/>
      <c r="CK73" s="111" t="b">
        <f>IF(CO98=25,21)</f>
        <v>0</v>
      </c>
      <c r="CL73" s="104"/>
      <c r="CM73" s="104"/>
      <c r="CN73" s="104"/>
      <c r="CO73" s="104"/>
      <c r="CP73" s="104"/>
      <c r="CQ73" s="104"/>
      <c r="CR73" s="104"/>
      <c r="CS73" s="107" t="b">
        <f>IF(CO98=25,29)</f>
        <v>0</v>
      </c>
      <c r="CU73" s="60"/>
      <c r="CV73" s="60"/>
      <c r="CW73" s="60"/>
      <c r="CX73" s="60"/>
      <c r="CY73" s="60"/>
      <c r="CZ73" s="60"/>
      <c r="DA73" s="60"/>
      <c r="DB73" s="60"/>
      <c r="DC73" s="62"/>
      <c r="DD73" s="62"/>
    </row>
    <row r="74" spans="7:108" ht="21" hidden="1" thickBot="1" x14ac:dyDescent="0.25">
      <c r="G74" s="927"/>
      <c r="H74" s="43"/>
      <c r="I74" s="43"/>
      <c r="J74" s="43"/>
      <c r="K74" s="43"/>
      <c r="L74" s="43"/>
      <c r="M74" s="43"/>
      <c r="N74" s="43"/>
      <c r="O74" s="935"/>
      <c r="BN74" s="69"/>
      <c r="BO74" s="109"/>
      <c r="BP74" s="79">
        <v>24</v>
      </c>
      <c r="BQ74" s="62"/>
      <c r="BR74" s="62"/>
      <c r="BS74" s="62"/>
      <c r="BT74" s="62"/>
      <c r="BU74" s="62"/>
      <c r="BV74" s="62"/>
      <c r="BW74" s="62"/>
      <c r="BX74" s="62"/>
      <c r="BY74" s="62"/>
      <c r="BZ74" s="62"/>
      <c r="CA74" s="62"/>
      <c r="CB74" s="100" t="b">
        <f>IF(CN98=24,12)</f>
        <v>0</v>
      </c>
      <c r="CC74" s="94"/>
      <c r="CD74" s="94"/>
      <c r="CE74" s="94"/>
      <c r="CF74" s="94"/>
      <c r="CG74" s="94"/>
      <c r="CH74" s="101"/>
      <c r="CI74" s="94"/>
      <c r="CJ74" s="112"/>
      <c r="CK74" s="94"/>
      <c r="CL74" s="94"/>
      <c r="CM74" s="94"/>
      <c r="CN74" s="94"/>
      <c r="CO74" s="94"/>
      <c r="CP74" s="94"/>
      <c r="CQ74" s="94"/>
      <c r="CR74" s="94"/>
      <c r="CS74" s="94"/>
      <c r="CT74" s="101"/>
      <c r="CU74" s="102"/>
      <c r="CV74" s="102"/>
      <c r="CW74" s="102"/>
      <c r="CX74" s="102"/>
      <c r="CY74" s="102"/>
      <c r="CZ74" s="86" t="b">
        <f>IF(CN98=24,36)</f>
        <v>0</v>
      </c>
      <c r="DA74" s="60"/>
      <c r="DB74" s="60"/>
      <c r="DC74" s="62"/>
      <c r="DD74" s="62"/>
    </row>
    <row r="75" spans="7:108" ht="21" hidden="1" thickBot="1" x14ac:dyDescent="0.25">
      <c r="G75" s="927"/>
      <c r="H75" s="43"/>
      <c r="I75" s="43"/>
      <c r="J75" s="43"/>
      <c r="K75" s="43"/>
      <c r="L75" s="43"/>
      <c r="M75" s="43"/>
      <c r="N75" s="43"/>
      <c r="O75" s="935"/>
      <c r="BN75" s="69"/>
      <c r="BO75" s="109"/>
      <c r="BP75" s="79">
        <v>23</v>
      </c>
      <c r="BQ75" s="62"/>
      <c r="BR75" s="62"/>
      <c r="BS75" s="62"/>
      <c r="BT75" s="62"/>
      <c r="BU75" s="62"/>
      <c r="BV75" s="62"/>
      <c r="BW75" s="62"/>
      <c r="BX75" s="62"/>
      <c r="BY75" s="62"/>
      <c r="BZ75" s="62"/>
      <c r="CA75" s="62"/>
      <c r="CB75" s="103" t="b">
        <f>IF(CM98=23,12)</f>
        <v>0</v>
      </c>
      <c r="CC75" s="104"/>
      <c r="CD75" s="104"/>
      <c r="CE75" s="104"/>
      <c r="CF75" s="105"/>
      <c r="CG75" s="104"/>
      <c r="CH75" s="115"/>
      <c r="CI75" s="104"/>
      <c r="CJ75" s="116"/>
      <c r="CK75" s="104"/>
      <c r="CL75" s="104"/>
      <c r="CM75" s="104"/>
      <c r="CN75" s="104"/>
      <c r="CO75" s="104"/>
      <c r="CP75" s="104"/>
      <c r="CQ75" s="104"/>
      <c r="CR75" s="104"/>
      <c r="CS75" s="104"/>
      <c r="CT75" s="105"/>
      <c r="CU75" s="106"/>
      <c r="CV75" s="106"/>
      <c r="CW75" s="106"/>
      <c r="CX75" s="107" t="b">
        <f>IF(CM98=23,34)</f>
        <v>0</v>
      </c>
      <c r="CY75" s="60"/>
      <c r="CZ75" s="60"/>
      <c r="DA75" s="60"/>
      <c r="DB75" s="60"/>
      <c r="DC75" s="62"/>
      <c r="DD75" s="62"/>
    </row>
    <row r="76" spans="7:108" ht="21" hidden="1" thickBot="1" x14ac:dyDescent="0.25">
      <c r="G76" s="927"/>
      <c r="H76" s="43"/>
      <c r="I76" s="43"/>
      <c r="J76" s="43"/>
      <c r="K76" s="43"/>
      <c r="L76" s="43"/>
      <c r="M76" s="43"/>
      <c r="N76" s="43"/>
      <c r="O76" s="935"/>
      <c r="BN76" s="69"/>
      <c r="BO76" s="109"/>
      <c r="BP76" s="79">
        <v>22</v>
      </c>
      <c r="BQ76" s="60"/>
      <c r="BR76" s="60"/>
      <c r="BS76" s="60"/>
      <c r="BT76" s="60"/>
      <c r="BU76" s="60"/>
      <c r="BV76" s="60"/>
      <c r="BW76" s="60"/>
      <c r="BX76" s="60"/>
      <c r="BY76" s="60"/>
      <c r="BZ76" s="60"/>
      <c r="CA76" s="60"/>
      <c r="CB76" s="103" t="b">
        <f>IF(CL98=22,12)</f>
        <v>0</v>
      </c>
      <c r="CC76" s="106"/>
      <c r="CD76" s="106"/>
      <c r="CE76" s="106"/>
      <c r="CF76" s="105"/>
      <c r="CG76" s="106"/>
      <c r="CH76" s="117"/>
      <c r="CI76" s="106"/>
      <c r="CJ76" s="118"/>
      <c r="CK76" s="106"/>
      <c r="CL76" s="106"/>
      <c r="CM76" s="106"/>
      <c r="CN76" s="106"/>
      <c r="CO76" s="104"/>
      <c r="CP76" s="104"/>
      <c r="CQ76" s="105"/>
      <c r="CR76" s="104"/>
      <c r="CS76" s="104"/>
      <c r="CT76" s="104"/>
      <c r="CU76" s="104"/>
      <c r="CV76" s="107" t="b">
        <f>IF(CL98=22,32)</f>
        <v>0</v>
      </c>
      <c r="CW76" s="62"/>
      <c r="CX76" s="62"/>
      <c r="CY76" s="62"/>
      <c r="CZ76" s="62"/>
      <c r="DA76" s="62"/>
      <c r="DB76" s="62"/>
      <c r="DC76" s="62"/>
      <c r="DD76" s="62"/>
    </row>
    <row r="77" spans="7:108" ht="21" hidden="1" thickBot="1" x14ac:dyDescent="0.25">
      <c r="G77" s="927"/>
      <c r="H77" s="43"/>
      <c r="I77" s="43"/>
      <c r="J77" s="43"/>
      <c r="K77" s="43"/>
      <c r="L77" s="43"/>
      <c r="M77" s="43"/>
      <c r="N77" s="43"/>
      <c r="O77" s="935"/>
      <c r="BN77" s="69"/>
      <c r="BO77" s="109"/>
      <c r="BP77" s="79">
        <v>21</v>
      </c>
      <c r="BQ77" s="62"/>
      <c r="BR77" s="62"/>
      <c r="BS77" s="62"/>
      <c r="BT77" s="62"/>
      <c r="BU77" s="62"/>
      <c r="BV77" s="62"/>
      <c r="BW77" s="62"/>
      <c r="BX77" s="62"/>
      <c r="BY77" s="62"/>
      <c r="BZ77" s="62"/>
      <c r="CA77" s="62"/>
      <c r="CB77" s="103" t="b">
        <f>IF(CK98=21,12)</f>
        <v>0</v>
      </c>
      <c r="CC77" s="104"/>
      <c r="CD77" s="104"/>
      <c r="CE77" s="104"/>
      <c r="CF77" s="104"/>
      <c r="CG77" s="104"/>
      <c r="CH77" s="115"/>
      <c r="CI77" s="104"/>
      <c r="CJ77" s="116"/>
      <c r="CK77" s="104"/>
      <c r="CL77" s="104"/>
      <c r="CM77" s="104"/>
      <c r="CN77" s="104"/>
      <c r="CO77" s="104"/>
      <c r="CP77" s="104"/>
      <c r="CQ77" s="104"/>
      <c r="CR77" s="104"/>
      <c r="CS77" s="104"/>
      <c r="CT77" s="107" t="b">
        <f>IF(CK98=21,30)</f>
        <v>0</v>
      </c>
      <c r="CU77" s="60"/>
      <c r="CV77" s="60"/>
      <c r="CW77" s="60"/>
      <c r="CX77" s="60"/>
      <c r="CY77" s="60"/>
      <c r="CZ77" s="60"/>
      <c r="DA77" s="60"/>
      <c r="DB77" s="60"/>
      <c r="DC77" s="62"/>
      <c r="DD77" s="62"/>
    </row>
    <row r="78" spans="7:108" ht="21" hidden="1" thickBot="1" x14ac:dyDescent="0.25">
      <c r="G78" s="927"/>
      <c r="H78" s="43"/>
      <c r="I78" s="43"/>
      <c r="J78" s="43"/>
      <c r="K78" s="43"/>
      <c r="L78" s="43"/>
      <c r="M78" s="43"/>
      <c r="N78" s="43"/>
      <c r="O78" s="935"/>
      <c r="BN78" s="69"/>
      <c r="BO78" s="863"/>
      <c r="BP78" s="79">
        <v>20</v>
      </c>
      <c r="BQ78" s="62"/>
      <c r="BR78" s="62"/>
      <c r="BS78" s="62"/>
      <c r="BT78" s="62"/>
      <c r="BU78" s="62"/>
      <c r="BV78" s="62"/>
      <c r="BW78" s="62"/>
      <c r="BX78" s="62"/>
      <c r="CA78" s="120"/>
      <c r="CB78" s="100" t="b">
        <f>IF(CJ98=20,12)</f>
        <v>0</v>
      </c>
      <c r="CC78" s="94"/>
      <c r="CD78" s="94"/>
      <c r="CE78" s="94"/>
      <c r="CF78" s="94"/>
      <c r="CG78" s="94"/>
      <c r="CH78" s="121"/>
      <c r="CI78" s="94"/>
      <c r="CJ78" s="112"/>
      <c r="CK78" s="94"/>
      <c r="CL78" s="94"/>
      <c r="CM78" s="94"/>
      <c r="CN78" s="94"/>
      <c r="CO78" s="94"/>
      <c r="CP78" s="94"/>
      <c r="CQ78" s="94"/>
      <c r="CR78" s="86" t="b">
        <f>IF(CJ98=20,28)</f>
        <v>0</v>
      </c>
      <c r="CS78" s="120"/>
      <c r="CU78" s="60"/>
      <c r="CV78" s="60"/>
      <c r="CW78" s="60"/>
      <c r="CX78" s="60"/>
      <c r="CY78" s="60"/>
      <c r="CZ78" s="60"/>
      <c r="DA78" s="60"/>
      <c r="DB78" s="60"/>
      <c r="DC78" s="62"/>
      <c r="DD78" s="62"/>
    </row>
    <row r="79" spans="7:108" ht="21" hidden="1" thickBot="1" x14ac:dyDescent="0.25">
      <c r="G79" s="807"/>
      <c r="H79" s="43"/>
      <c r="I79" s="43"/>
      <c r="J79" s="43"/>
      <c r="K79" s="43"/>
      <c r="L79" s="43"/>
      <c r="M79" s="43"/>
      <c r="N79" s="43"/>
      <c r="O79" s="935"/>
      <c r="BN79" s="69"/>
      <c r="BO79" s="863"/>
      <c r="BP79" s="79">
        <v>19</v>
      </c>
      <c r="BQ79" s="62"/>
      <c r="BR79" s="62"/>
      <c r="BS79" s="62"/>
      <c r="BT79" s="62"/>
      <c r="BU79" s="62"/>
      <c r="BV79" s="62"/>
      <c r="BW79" s="62"/>
      <c r="BX79" s="62"/>
      <c r="BZ79" s="122"/>
      <c r="CA79" s="122"/>
      <c r="CB79" s="100" t="b">
        <f>IF(CI98=19,12)</f>
        <v>0</v>
      </c>
      <c r="CC79" s="102"/>
      <c r="CD79" s="102"/>
      <c r="CE79" s="101"/>
      <c r="CF79" s="102"/>
      <c r="CG79" s="102"/>
      <c r="CH79" s="123"/>
      <c r="CI79" s="102"/>
      <c r="CJ79" s="124"/>
      <c r="CK79" s="101"/>
      <c r="CL79" s="102"/>
      <c r="CM79" s="102"/>
      <c r="CN79" s="102"/>
      <c r="CO79" s="94"/>
      <c r="CP79" s="86" t="b">
        <f>IF(CI98=19,26)</f>
        <v>0</v>
      </c>
      <c r="CQ79" s="125"/>
      <c r="CR79" s="120"/>
      <c r="CT79" s="62"/>
      <c r="CU79" s="62"/>
      <c r="CV79" s="62"/>
      <c r="CW79" s="62"/>
      <c r="CX79" s="62"/>
      <c r="CY79" s="62"/>
      <c r="CZ79" s="62"/>
      <c r="DA79" s="62"/>
      <c r="DB79" s="62"/>
      <c r="DC79" s="62"/>
      <c r="DD79" s="62"/>
    </row>
    <row r="80" spans="7:108" ht="21" hidden="1" thickBot="1" x14ac:dyDescent="0.25">
      <c r="G80" s="927"/>
      <c r="H80" s="43"/>
      <c r="I80" s="43"/>
      <c r="J80" s="43"/>
      <c r="K80" s="43"/>
      <c r="L80" s="43"/>
      <c r="M80" s="43"/>
      <c r="N80" s="43"/>
      <c r="O80" s="935"/>
      <c r="BN80" s="69"/>
      <c r="BO80" s="863"/>
      <c r="BP80" s="79">
        <v>18</v>
      </c>
      <c r="BQ80" s="60"/>
      <c r="BR80" s="60"/>
      <c r="BS80" s="60"/>
      <c r="BT80" s="60"/>
      <c r="BU80" s="60"/>
      <c r="BV80" s="60"/>
      <c r="BW80" s="60"/>
      <c r="BX80" s="60"/>
      <c r="BZ80" s="100">
        <f>IF(CH98=18,10)</f>
        <v>10</v>
      </c>
      <c r="CA80" s="102"/>
      <c r="CB80" s="102"/>
      <c r="CC80" s="102"/>
      <c r="CD80" s="102"/>
      <c r="CE80" s="101"/>
      <c r="CF80" s="102"/>
      <c r="CG80" s="102"/>
      <c r="CH80" s="123"/>
      <c r="CI80" s="102"/>
      <c r="CJ80" s="124"/>
      <c r="CK80" s="101"/>
      <c r="CL80" s="102"/>
      <c r="CM80" s="102"/>
      <c r="CN80" s="102"/>
      <c r="CO80" s="94"/>
      <c r="CP80" s="86">
        <f>IF(CH98=18,26)</f>
        <v>26</v>
      </c>
      <c r="CR80" s="62"/>
      <c r="CS80" s="62"/>
      <c r="CT80" s="62"/>
      <c r="CU80" s="62"/>
      <c r="CV80" s="62"/>
      <c r="CW80" s="62"/>
      <c r="CX80" s="62"/>
      <c r="CY80" s="62"/>
      <c r="CZ80" s="62"/>
      <c r="DA80" s="62"/>
      <c r="DB80" s="62"/>
      <c r="DC80" s="62"/>
      <c r="DD80" s="62"/>
    </row>
    <row r="81" spans="7:143" ht="21" hidden="1" thickBot="1" x14ac:dyDescent="0.25">
      <c r="G81" s="927"/>
      <c r="H81" s="43"/>
      <c r="I81" s="43"/>
      <c r="J81" s="43"/>
      <c r="K81" s="43"/>
      <c r="L81" s="43"/>
      <c r="M81" s="43"/>
      <c r="N81" s="43"/>
      <c r="O81" s="935"/>
      <c r="BN81" s="69"/>
      <c r="BO81" s="863"/>
      <c r="BP81" s="79">
        <v>17</v>
      </c>
      <c r="BQ81" s="60"/>
      <c r="BR81" s="60"/>
      <c r="BS81" s="60"/>
      <c r="BT81" s="60"/>
      <c r="BU81" s="60"/>
      <c r="BV81" s="60"/>
      <c r="BW81" s="60"/>
      <c r="BX81" s="100" t="b">
        <f>IF(CG98=17,8)</f>
        <v>0</v>
      </c>
      <c r="BY81" s="101"/>
      <c r="BZ81" s="101"/>
      <c r="CA81" s="102"/>
      <c r="CB81" s="102"/>
      <c r="CC81" s="102"/>
      <c r="CD81" s="102"/>
      <c r="CE81" s="102"/>
      <c r="CF81" s="102"/>
      <c r="CG81" s="102"/>
      <c r="CH81" s="123"/>
      <c r="CI81" s="102"/>
      <c r="CJ81" s="124"/>
      <c r="CK81" s="102"/>
      <c r="CL81" s="102"/>
      <c r="CM81" s="102"/>
      <c r="CN81" s="101"/>
      <c r="CO81" s="101"/>
      <c r="CP81" s="86" t="b">
        <f>IF(CG98=17,26)</f>
        <v>0</v>
      </c>
      <c r="CQ81" s="62"/>
      <c r="CR81" s="62"/>
      <c r="CS81" s="62"/>
      <c r="CT81" s="62"/>
      <c r="CU81" s="62"/>
      <c r="CV81" s="62"/>
      <c r="CW81" s="62"/>
      <c r="CX81" s="62"/>
      <c r="CY81" s="62"/>
      <c r="CZ81" s="62"/>
      <c r="DA81" s="62"/>
      <c r="DB81" s="62"/>
      <c r="DC81" s="62"/>
      <c r="DD81" s="62"/>
      <c r="DF81" s="1105"/>
      <c r="DG81" s="1105"/>
      <c r="DH81" s="60"/>
      <c r="DI81" s="60"/>
      <c r="DJ81" s="61"/>
      <c r="DK81" s="62"/>
      <c r="DL81" s="62"/>
      <c r="DM81" s="62"/>
      <c r="DN81" s="62"/>
      <c r="DO81" s="62"/>
      <c r="DP81" s="62"/>
      <c r="DQ81" s="62"/>
      <c r="DR81" s="62"/>
      <c r="DS81" s="62"/>
      <c r="DT81" s="62"/>
      <c r="DU81" s="62"/>
      <c r="DV81" s="62"/>
      <c r="DW81" s="62"/>
      <c r="DX81" s="62"/>
      <c r="DY81" s="62"/>
      <c r="DZ81" s="62"/>
      <c r="EA81" s="62"/>
      <c r="EB81" s="62"/>
      <c r="EC81" s="62"/>
      <c r="ED81" s="62"/>
      <c r="EE81" s="62"/>
      <c r="EF81" s="62"/>
      <c r="EG81" s="62"/>
      <c r="EH81" s="62"/>
      <c r="EI81" s="62"/>
      <c r="EJ81" s="62"/>
      <c r="EK81" s="62"/>
      <c r="EL81" s="58"/>
      <c r="EM81" s="58"/>
    </row>
    <row r="82" spans="7:143" ht="21" hidden="1" thickBot="1" x14ac:dyDescent="0.25">
      <c r="G82" s="927"/>
      <c r="H82" s="43"/>
      <c r="I82" s="43"/>
      <c r="J82" s="43"/>
      <c r="K82" s="43"/>
      <c r="L82" s="43"/>
      <c r="M82" s="43"/>
      <c r="N82" s="43"/>
      <c r="O82" s="935"/>
      <c r="BN82" s="69"/>
      <c r="BO82" s="863"/>
      <c r="BP82" s="79">
        <v>16</v>
      </c>
      <c r="BQ82" s="60"/>
      <c r="BR82" s="60"/>
      <c r="BS82" s="60"/>
      <c r="BT82" s="60"/>
      <c r="BU82" s="60"/>
      <c r="BV82" s="128" t="b">
        <f>IF(CF98=16,6)</f>
        <v>0</v>
      </c>
      <c r="BW82" s="129"/>
      <c r="BX82" s="130"/>
      <c r="BY82" s="130"/>
      <c r="BZ82" s="129"/>
      <c r="CA82" s="129"/>
      <c r="CB82" s="129"/>
      <c r="CC82" s="129"/>
      <c r="CD82" s="129"/>
      <c r="CE82" s="129"/>
      <c r="CF82" s="129"/>
      <c r="CG82" s="129"/>
      <c r="CH82" s="131"/>
      <c r="CI82" s="129"/>
      <c r="CJ82" s="132"/>
      <c r="CK82" s="129"/>
      <c r="CL82" s="129"/>
      <c r="CM82" s="130"/>
      <c r="CN82" s="130"/>
      <c r="CO82" s="133"/>
      <c r="CP82" s="134" t="b">
        <f>IF(CF98=16,26)</f>
        <v>0</v>
      </c>
      <c r="CQ82" s="62"/>
      <c r="CR82" s="62"/>
      <c r="CS82" s="62"/>
      <c r="CT82" s="62"/>
      <c r="CU82" s="62"/>
      <c r="CV82" s="62"/>
      <c r="CW82" s="62"/>
      <c r="CX82" s="62"/>
      <c r="CY82" s="62"/>
      <c r="CZ82" s="62"/>
      <c r="DA82" s="62"/>
      <c r="DB82" s="62"/>
      <c r="DC82" s="62"/>
      <c r="DD82" s="62"/>
      <c r="EJ82" s="62"/>
      <c r="EK82" s="62"/>
    </row>
    <row r="83" spans="7:143" ht="21" hidden="1" thickBot="1" x14ac:dyDescent="0.25">
      <c r="G83" s="927"/>
      <c r="H83" s="43"/>
      <c r="I83" s="43"/>
      <c r="J83" s="43"/>
      <c r="K83" s="787">
        <v>5</v>
      </c>
      <c r="L83" s="43"/>
      <c r="M83" s="787">
        <v>51</v>
      </c>
      <c r="N83" s="43"/>
      <c r="O83" s="935"/>
      <c r="BN83" s="69"/>
      <c r="BO83" s="863"/>
      <c r="BP83" s="79">
        <v>15</v>
      </c>
      <c r="BQ83" s="60"/>
      <c r="BR83" s="60"/>
      <c r="BS83" s="60"/>
      <c r="BT83" s="100" t="b">
        <f>IF(CE98=15,4)</f>
        <v>0</v>
      </c>
      <c r="BU83" s="102"/>
      <c r="BV83" s="102"/>
      <c r="BW83" s="102"/>
      <c r="BX83" s="101"/>
      <c r="BY83" s="102"/>
      <c r="BZ83" s="102"/>
      <c r="CA83" s="101"/>
      <c r="CB83" s="102"/>
      <c r="CC83" s="102"/>
      <c r="CD83" s="102"/>
      <c r="CE83" s="102"/>
      <c r="CF83" s="102"/>
      <c r="CG83" s="102"/>
      <c r="CH83" s="123"/>
      <c r="CI83" s="101"/>
      <c r="CJ83" s="124"/>
      <c r="CK83" s="102"/>
      <c r="CL83" s="101"/>
      <c r="CM83" s="102"/>
      <c r="CN83" s="102"/>
      <c r="CO83" s="94"/>
      <c r="CP83" s="86" t="b">
        <f>IF(CE98=15,26)</f>
        <v>0</v>
      </c>
      <c r="CQ83" s="62"/>
      <c r="CR83" s="62"/>
      <c r="CS83" s="62"/>
      <c r="CT83" s="62"/>
      <c r="CU83" s="62"/>
      <c r="CV83" s="62"/>
      <c r="CW83" s="62"/>
      <c r="CX83" s="62"/>
      <c r="CY83" s="62"/>
      <c r="CZ83" s="62"/>
      <c r="DA83" s="62"/>
      <c r="DB83" s="62"/>
      <c r="DC83" s="62"/>
      <c r="DD83" s="62"/>
      <c r="EJ83" s="62"/>
      <c r="EK83" s="62"/>
    </row>
    <row r="84" spans="7:143" ht="106" hidden="1" thickBot="1" x14ac:dyDescent="0.25">
      <c r="G84" s="927"/>
      <c r="H84" s="43"/>
      <c r="I84" s="43"/>
      <c r="J84" s="43"/>
      <c r="K84" s="768" t="s">
        <v>181</v>
      </c>
      <c r="L84" s="768" t="s">
        <v>183</v>
      </c>
      <c r="M84" s="768" t="s">
        <v>182</v>
      </c>
      <c r="N84" s="43"/>
      <c r="O84" s="935"/>
      <c r="BN84" s="69"/>
      <c r="BO84" s="863"/>
      <c r="BP84" s="79">
        <v>14</v>
      </c>
      <c r="BQ84" s="60"/>
      <c r="BR84" s="100" t="b">
        <f>IF(CD98=14,2)</f>
        <v>0</v>
      </c>
      <c r="BS84" s="102"/>
      <c r="BT84" s="102"/>
      <c r="BU84" s="102"/>
      <c r="BV84" s="101"/>
      <c r="BW84" s="102"/>
      <c r="BX84" s="102"/>
      <c r="BY84" s="101"/>
      <c r="BZ84" s="102"/>
      <c r="CA84" s="102"/>
      <c r="CB84" s="102"/>
      <c r="CC84" s="102"/>
      <c r="CD84" s="102"/>
      <c r="CE84" s="102"/>
      <c r="CF84" s="102"/>
      <c r="CG84" s="102"/>
      <c r="CH84" s="123"/>
      <c r="CI84" s="101"/>
      <c r="CJ84" s="124"/>
      <c r="CK84" s="102"/>
      <c r="CL84" s="101"/>
      <c r="CM84" s="102"/>
      <c r="CN84" s="102"/>
      <c r="CO84" s="94"/>
      <c r="CP84" s="86" t="b">
        <f>IF(CD98=14,26)</f>
        <v>0</v>
      </c>
      <c r="CQ84" s="62"/>
      <c r="CR84" s="62"/>
      <c r="CS84" s="62"/>
      <c r="CT84" s="62"/>
      <c r="CU84" s="62"/>
      <c r="CV84" s="62"/>
      <c r="CW84" s="62"/>
      <c r="CX84" s="62"/>
      <c r="CY84" s="62"/>
      <c r="CZ84" s="62"/>
      <c r="DA84" s="62"/>
      <c r="DB84" s="62"/>
      <c r="DC84" s="62"/>
      <c r="DD84" s="62"/>
      <c r="EJ84" s="62"/>
      <c r="EK84" s="62"/>
    </row>
    <row r="85" spans="7:143" ht="55.5" hidden="1" customHeight="1" thickBot="1" x14ac:dyDescent="0.3">
      <c r="G85" s="927"/>
      <c r="H85" s="43"/>
      <c r="I85" s="43"/>
      <c r="J85" s="949" t="s">
        <v>205</v>
      </c>
      <c r="K85" s="780">
        <f>+MIN(J19:K20)</f>
        <v>43.644298963447895</v>
      </c>
      <c r="L85" s="780">
        <f>+$E$20/(BQ25)</f>
        <v>43.644298963447895</v>
      </c>
      <c r="M85" s="780">
        <f>+MIN(K25:L26)</f>
        <v>43.644298963447895</v>
      </c>
      <c r="N85" s="43"/>
      <c r="O85" s="935"/>
      <c r="BN85" s="69"/>
      <c r="BO85" s="863"/>
      <c r="BP85" s="79">
        <v>13</v>
      </c>
      <c r="BQ85" s="60"/>
      <c r="BR85" s="60"/>
      <c r="BS85" s="60"/>
      <c r="BU85" s="135"/>
      <c r="BV85" s="135"/>
      <c r="BW85" s="74"/>
      <c r="BX85" s="135"/>
      <c r="BY85" s="103" t="b">
        <f>IF(CC98=13,9)</f>
        <v>0</v>
      </c>
      <c r="BZ85" s="106"/>
      <c r="CA85" s="106"/>
      <c r="CB85" s="106"/>
      <c r="CC85" s="106"/>
      <c r="CD85" s="106"/>
      <c r="CE85" s="106"/>
      <c r="CF85" s="106"/>
      <c r="CG85" s="107" t="b">
        <f>IF(CC98=13,17)</f>
        <v>0</v>
      </c>
      <c r="CH85" s="136"/>
      <c r="CI85" s="74"/>
      <c r="CJ85" s="137"/>
      <c r="CK85" s="135"/>
      <c r="CM85" s="60"/>
      <c r="CN85" s="60"/>
      <c r="CO85" s="62"/>
      <c r="CP85" s="62"/>
      <c r="CQ85" s="62"/>
      <c r="CR85" s="62"/>
      <c r="CS85" s="62"/>
      <c r="CT85" s="62"/>
      <c r="CU85" s="62"/>
      <c r="CV85" s="62"/>
      <c r="CW85" s="62"/>
      <c r="CX85" s="62"/>
      <c r="CY85" s="62"/>
      <c r="CZ85" s="62"/>
      <c r="DA85" s="62"/>
      <c r="DB85" s="62"/>
      <c r="DC85" s="62"/>
      <c r="DD85" s="62"/>
      <c r="EJ85" s="62"/>
      <c r="EK85" s="62"/>
    </row>
    <row r="86" spans="7:143" ht="21" hidden="1" thickBot="1" x14ac:dyDescent="0.25">
      <c r="G86" s="927"/>
      <c r="H86" s="43"/>
      <c r="I86" s="783">
        <v>6</v>
      </c>
      <c r="J86" s="783">
        <v>61</v>
      </c>
      <c r="K86" s="783">
        <v>62</v>
      </c>
      <c r="L86" s="783">
        <v>63</v>
      </c>
      <c r="M86" s="787">
        <v>64</v>
      </c>
      <c r="N86" s="43"/>
      <c r="O86" s="935"/>
      <c r="BN86" s="69"/>
      <c r="BO86" s="863"/>
      <c r="BP86" s="79">
        <v>12</v>
      </c>
      <c r="BQ86" s="60"/>
      <c r="BS86" s="122"/>
      <c r="BT86" s="122"/>
      <c r="BU86" s="125"/>
      <c r="BV86" s="122"/>
      <c r="BW86" s="100" t="b">
        <f>IF(CB98=12,7)</f>
        <v>0</v>
      </c>
      <c r="BX86" s="102"/>
      <c r="BY86" s="102"/>
      <c r="BZ86" s="102"/>
      <c r="CA86" s="102"/>
      <c r="CB86" s="102"/>
      <c r="CC86" s="102"/>
      <c r="CD86" s="102"/>
      <c r="CE86" s="102"/>
      <c r="CF86" s="102"/>
      <c r="CG86" s="86" t="b">
        <f>IF(CB98=12,17)</f>
        <v>0</v>
      </c>
      <c r="CH86" s="138"/>
      <c r="CI86" s="125"/>
      <c r="CJ86" s="139"/>
      <c r="CK86" s="122"/>
      <c r="CM86" s="60"/>
      <c r="CN86" s="60"/>
      <c r="CO86" s="62"/>
      <c r="CP86" s="62"/>
      <c r="CQ86" s="62"/>
      <c r="CR86" s="62"/>
      <c r="CS86" s="62"/>
      <c r="CT86" s="62"/>
      <c r="CU86" s="62"/>
      <c r="CV86" s="62"/>
      <c r="CW86" s="62"/>
      <c r="CX86" s="62"/>
      <c r="CY86" s="62"/>
      <c r="CZ86" s="62"/>
      <c r="DA86" s="62"/>
      <c r="DB86" s="62"/>
      <c r="DC86" s="62"/>
      <c r="DD86" s="62"/>
      <c r="DF86" s="90"/>
      <c r="DG86" s="90"/>
      <c r="DH86" s="90"/>
      <c r="DI86" s="90"/>
      <c r="DJ86" s="90"/>
      <c r="DK86" s="91"/>
      <c r="DL86" s="90"/>
      <c r="DM86" s="90"/>
      <c r="DN86" s="90"/>
      <c r="DO86" s="90"/>
      <c r="DP86" s="90"/>
      <c r="DQ86" s="90"/>
      <c r="DR86" s="90"/>
      <c r="DS86" s="90"/>
      <c r="DT86" s="90"/>
      <c r="DU86" s="90"/>
      <c r="DV86" s="90"/>
      <c r="DW86" s="90"/>
      <c r="DX86" s="90"/>
      <c r="DY86" s="90"/>
      <c r="DZ86" s="90"/>
      <c r="EA86" s="90"/>
      <c r="EB86" s="90"/>
      <c r="EC86" s="91"/>
      <c r="ED86" s="62"/>
      <c r="EE86" s="62"/>
      <c r="EF86" s="62"/>
      <c r="EG86" s="62"/>
      <c r="EH86" s="62"/>
      <c r="EI86" s="62"/>
      <c r="EJ86" s="62"/>
      <c r="EK86" s="62"/>
    </row>
    <row r="87" spans="7:143" ht="21" hidden="1" thickBot="1" x14ac:dyDescent="0.25">
      <c r="G87" s="927"/>
      <c r="H87" s="43"/>
      <c r="I87" s="43"/>
      <c r="J87" s="43"/>
      <c r="K87" s="43"/>
      <c r="L87" s="43"/>
      <c r="M87" s="43"/>
      <c r="N87" s="43"/>
      <c r="O87" s="935"/>
      <c r="BN87" s="69"/>
      <c r="BO87" s="863"/>
      <c r="BP87" s="79">
        <v>11</v>
      </c>
      <c r="BR87" s="135"/>
      <c r="BS87" s="74"/>
      <c r="BT87" s="135"/>
      <c r="BU87" s="100" t="b">
        <f>IF(CA98=11,5)</f>
        <v>0</v>
      </c>
      <c r="BV87" s="102"/>
      <c r="BW87" s="102"/>
      <c r="BX87" s="102"/>
      <c r="BY87" s="102"/>
      <c r="BZ87" s="102"/>
      <c r="CA87" s="102"/>
      <c r="CB87" s="102"/>
      <c r="CC87" s="102"/>
      <c r="CD87" s="102"/>
      <c r="CE87" s="102"/>
      <c r="CF87" s="102"/>
      <c r="CG87" s="86" t="b">
        <f>IF(CA98=11,17)</f>
        <v>0</v>
      </c>
      <c r="CH87" s="136"/>
      <c r="CI87" s="74"/>
      <c r="CJ87" s="137"/>
      <c r="CL87" s="60"/>
      <c r="CM87" s="60"/>
      <c r="CN87" s="60"/>
      <c r="CO87" s="62"/>
      <c r="CP87" s="62"/>
      <c r="CQ87" s="62"/>
      <c r="CR87" s="62"/>
      <c r="CS87" s="62"/>
      <c r="CT87" s="62"/>
      <c r="CU87" s="62"/>
      <c r="CV87" s="62"/>
      <c r="CW87" s="62"/>
      <c r="CX87" s="62"/>
      <c r="CY87" s="62"/>
      <c r="CZ87" s="62"/>
      <c r="DA87" s="62"/>
      <c r="DB87" s="62"/>
      <c r="DC87" s="62"/>
      <c r="DD87" s="62"/>
      <c r="DF87" s="90"/>
      <c r="DG87" s="90"/>
      <c r="DH87" s="90"/>
      <c r="DI87" s="90"/>
      <c r="DJ87" s="90"/>
      <c r="DK87" s="91"/>
      <c r="DL87" s="90"/>
      <c r="DM87" s="90"/>
      <c r="DN87" s="90"/>
      <c r="DO87" s="90"/>
      <c r="DP87" s="90"/>
      <c r="DQ87" s="90"/>
      <c r="DR87" s="90"/>
      <c r="DS87" s="90"/>
      <c r="DT87" s="90"/>
      <c r="DU87" s="90"/>
      <c r="DV87" s="90"/>
      <c r="DW87" s="90"/>
      <c r="DX87" s="90"/>
      <c r="DY87" s="90"/>
      <c r="DZ87" s="90"/>
      <c r="EA87" s="90"/>
      <c r="EB87" s="90"/>
      <c r="EC87" s="91"/>
      <c r="ED87" s="62"/>
      <c r="EE87" s="62"/>
      <c r="EF87" s="62"/>
      <c r="EG87" s="62"/>
      <c r="EH87" s="62"/>
      <c r="EI87" s="62"/>
      <c r="EJ87" s="62"/>
      <c r="EK87" s="62"/>
    </row>
    <row r="88" spans="7:143" ht="21" hidden="1" thickBot="1" x14ac:dyDescent="0.25">
      <c r="G88" s="927"/>
      <c r="H88" s="43"/>
      <c r="I88" s="43"/>
      <c r="J88" s="43"/>
      <c r="K88" s="43"/>
      <c r="L88" s="43"/>
      <c r="M88" s="43"/>
      <c r="N88" s="43"/>
      <c r="O88" s="935"/>
      <c r="BN88" s="69"/>
      <c r="BO88" s="863"/>
      <c r="BP88" s="79">
        <v>10</v>
      </c>
      <c r="BR88" s="135"/>
      <c r="BS88" s="100" t="b">
        <f>IF(BZ98=10,3)</f>
        <v>0</v>
      </c>
      <c r="BT88" s="102"/>
      <c r="BU88" s="102"/>
      <c r="BV88" s="102"/>
      <c r="BW88" s="102"/>
      <c r="BX88" s="102"/>
      <c r="BY88" s="102"/>
      <c r="BZ88" s="102"/>
      <c r="CA88" s="102"/>
      <c r="CB88" s="102"/>
      <c r="CC88" s="102"/>
      <c r="CD88" s="102"/>
      <c r="CE88" s="102"/>
      <c r="CF88" s="102"/>
      <c r="CG88" s="86" t="b">
        <f>IF(BZ98=10,17)</f>
        <v>0</v>
      </c>
      <c r="CH88" s="136"/>
      <c r="CJ88" s="140"/>
      <c r="CK88" s="60"/>
      <c r="CL88" s="60"/>
      <c r="CM88" s="60"/>
      <c r="CN88" s="60"/>
      <c r="CO88" s="62"/>
      <c r="CP88" s="62"/>
      <c r="CQ88" s="62"/>
      <c r="CR88" s="62"/>
      <c r="CS88" s="62"/>
      <c r="CT88" s="62"/>
      <c r="CU88" s="62"/>
      <c r="CV88" s="62"/>
      <c r="CW88" s="62"/>
      <c r="CX88" s="62"/>
      <c r="CY88" s="62"/>
      <c r="CZ88" s="62"/>
      <c r="DA88" s="62"/>
      <c r="DB88" s="62"/>
      <c r="DC88" s="62"/>
      <c r="DD88" s="62"/>
      <c r="EJ88" s="62"/>
      <c r="EK88" s="62"/>
    </row>
    <row r="89" spans="7:143" ht="21" hidden="1" thickBot="1" x14ac:dyDescent="0.25">
      <c r="G89" s="927"/>
      <c r="H89" s="43"/>
      <c r="I89" s="43"/>
      <c r="J89" s="43"/>
      <c r="K89" s="43"/>
      <c r="L89" s="43"/>
      <c r="M89" s="43"/>
      <c r="N89" s="43"/>
      <c r="O89" s="935"/>
      <c r="BN89" s="69"/>
      <c r="BO89" s="863"/>
      <c r="BP89" s="79">
        <v>9</v>
      </c>
      <c r="BQ89" s="100" t="b">
        <f>IF(BY98=9,1)</f>
        <v>0</v>
      </c>
      <c r="BR89" s="102"/>
      <c r="BS89" s="102"/>
      <c r="BT89" s="102"/>
      <c r="BU89" s="102"/>
      <c r="BV89" s="102"/>
      <c r="BW89" s="102"/>
      <c r="BX89" s="102"/>
      <c r="BY89" s="102"/>
      <c r="BZ89" s="102"/>
      <c r="CA89" s="102"/>
      <c r="CB89" s="102"/>
      <c r="CC89" s="102"/>
      <c r="CD89" s="102"/>
      <c r="CE89" s="102"/>
      <c r="CF89" s="102"/>
      <c r="CG89" s="86" t="b">
        <f>IF(BY98=9,17)</f>
        <v>0</v>
      </c>
      <c r="CH89" s="60"/>
      <c r="CI89" s="60"/>
      <c r="CJ89" s="140"/>
      <c r="CK89" s="60"/>
      <c r="CL89" s="60"/>
      <c r="CM89" s="60"/>
      <c r="CN89" s="60"/>
      <c r="CO89" s="62"/>
      <c r="CP89" s="62"/>
      <c r="CQ89" s="62"/>
      <c r="CR89" s="62"/>
      <c r="CS89" s="62"/>
      <c r="CT89" s="62"/>
      <c r="CU89" s="62"/>
      <c r="CV89" s="62"/>
      <c r="CW89" s="62"/>
      <c r="CX89" s="62"/>
      <c r="CY89" s="62"/>
      <c r="CZ89" s="62"/>
      <c r="DA89" s="62"/>
      <c r="DB89" s="62"/>
      <c r="DC89" s="62"/>
      <c r="DD89" s="62"/>
      <c r="EJ89" s="62"/>
      <c r="EK89" s="62"/>
    </row>
    <row r="90" spans="7:143" ht="21" hidden="1" thickBot="1" x14ac:dyDescent="0.25">
      <c r="G90" s="927"/>
      <c r="H90" s="43"/>
      <c r="I90" s="43"/>
      <c r="J90" s="43"/>
      <c r="K90" s="43"/>
      <c r="L90" s="43"/>
      <c r="M90" s="43"/>
      <c r="N90" s="43"/>
      <c r="O90" s="935"/>
      <c r="BN90" s="69"/>
      <c r="BO90" s="863"/>
      <c r="BP90" s="79">
        <v>8</v>
      </c>
      <c r="BQ90" s="100" t="b">
        <f>IF(BX98=8,1)</f>
        <v>0</v>
      </c>
      <c r="BR90" s="102"/>
      <c r="BS90" s="101"/>
      <c r="BT90" s="102"/>
      <c r="BU90" s="102"/>
      <c r="BV90" s="102"/>
      <c r="BW90" s="102"/>
      <c r="BX90" s="102"/>
      <c r="BY90" s="102"/>
      <c r="BZ90" s="102"/>
      <c r="CA90" s="102"/>
      <c r="CB90" s="102"/>
      <c r="CC90" s="101"/>
      <c r="CD90" s="102"/>
      <c r="CE90" s="86" t="b">
        <f>IF(BX98=8,15)</f>
        <v>0</v>
      </c>
      <c r="CF90" s="60"/>
      <c r="CG90" s="60"/>
      <c r="CH90" s="141"/>
      <c r="CI90" s="60"/>
      <c r="CJ90" s="140"/>
      <c r="CK90" s="60"/>
      <c r="CL90" s="60"/>
      <c r="CM90" s="60"/>
      <c r="CN90" s="60"/>
      <c r="CO90" s="62"/>
      <c r="CP90" s="62"/>
      <c r="CQ90" s="62"/>
      <c r="CR90" s="62"/>
      <c r="CS90" s="62"/>
      <c r="CT90" s="62"/>
      <c r="CU90" s="62"/>
      <c r="CV90" s="62"/>
      <c r="CW90" s="62"/>
      <c r="CX90" s="62"/>
      <c r="CY90" s="62"/>
      <c r="CZ90" s="62"/>
      <c r="DA90" s="62"/>
      <c r="DB90" s="62"/>
      <c r="DC90" s="62"/>
      <c r="DD90" s="62"/>
      <c r="EJ90" s="62"/>
      <c r="EK90" s="62"/>
    </row>
    <row r="91" spans="7:143" ht="21" hidden="1" thickBot="1" x14ac:dyDescent="0.25">
      <c r="G91" s="927"/>
      <c r="H91" s="43"/>
      <c r="I91" s="43"/>
      <c r="J91" s="43"/>
      <c r="K91" s="43"/>
      <c r="L91" s="43"/>
      <c r="M91" s="43"/>
      <c r="N91" s="43"/>
      <c r="O91" s="935"/>
      <c r="BN91" s="69"/>
      <c r="BO91" s="863"/>
      <c r="BP91" s="79">
        <v>7</v>
      </c>
      <c r="BQ91" s="100" t="b">
        <f>IF(BW98=7,1)</f>
        <v>0</v>
      </c>
      <c r="BR91" s="101"/>
      <c r="BS91" s="102"/>
      <c r="BT91" s="102"/>
      <c r="BU91" s="102"/>
      <c r="BV91" s="102"/>
      <c r="BW91" s="102"/>
      <c r="BX91" s="102"/>
      <c r="BY91" s="102"/>
      <c r="BZ91" s="102"/>
      <c r="CA91" s="101"/>
      <c r="CB91" s="101"/>
      <c r="CC91" s="86" t="b">
        <f>IF(BW98=7,13)</f>
        <v>0</v>
      </c>
      <c r="CD91" s="60"/>
      <c r="CE91" s="60"/>
      <c r="CF91" s="60"/>
      <c r="CG91" s="60"/>
      <c r="CH91" s="141"/>
      <c r="CI91" s="60"/>
      <c r="CJ91" s="140"/>
      <c r="CK91" s="60"/>
      <c r="CL91" s="60"/>
      <c r="CM91" s="60"/>
      <c r="CN91" s="60"/>
      <c r="CO91" s="62"/>
      <c r="CP91" s="62"/>
      <c r="CQ91" s="62"/>
      <c r="CR91" s="62"/>
      <c r="CS91" s="62"/>
      <c r="CT91" s="62"/>
      <c r="CU91" s="62"/>
      <c r="CV91" s="62"/>
      <c r="CW91" s="62"/>
      <c r="CX91" s="62"/>
      <c r="CY91" s="62"/>
      <c r="CZ91" s="62"/>
      <c r="DA91" s="62"/>
      <c r="DB91" s="62"/>
      <c r="DC91" s="62"/>
      <c r="DD91" s="62"/>
      <c r="EJ91" s="62"/>
      <c r="EK91" s="62"/>
    </row>
    <row r="92" spans="7:143" ht="21" hidden="1" thickBot="1" x14ac:dyDescent="0.25">
      <c r="G92" s="927"/>
      <c r="H92" s="43"/>
      <c r="I92" s="43"/>
      <c r="J92" s="43"/>
      <c r="K92" s="43"/>
      <c r="L92" s="43"/>
      <c r="M92" s="43"/>
      <c r="N92" s="43"/>
      <c r="O92" s="935"/>
      <c r="BN92" s="69"/>
      <c r="BO92" s="863"/>
      <c r="BP92" s="79">
        <v>6</v>
      </c>
      <c r="BQ92" s="103" t="b">
        <f>IF(BV98=6,1)</f>
        <v>0</v>
      </c>
      <c r="BR92" s="106"/>
      <c r="BS92" s="106"/>
      <c r="BT92" s="106"/>
      <c r="BU92" s="106"/>
      <c r="BV92" s="106"/>
      <c r="BW92" s="106"/>
      <c r="BX92" s="106"/>
      <c r="BY92" s="106"/>
      <c r="BZ92" s="106"/>
      <c r="CA92" s="107" t="b">
        <f>IF(BV98=6,11)</f>
        <v>0</v>
      </c>
      <c r="CB92" s="60"/>
      <c r="CC92" s="60"/>
      <c r="CD92" s="60"/>
      <c r="CE92" s="60"/>
      <c r="CF92" s="60"/>
      <c r="CG92" s="60"/>
      <c r="CH92" s="141"/>
      <c r="CI92" s="60"/>
      <c r="CJ92" s="140"/>
      <c r="CK92" s="60"/>
      <c r="CL92" s="60"/>
      <c r="CM92" s="60"/>
      <c r="CN92" s="60"/>
      <c r="CO92" s="62"/>
      <c r="CP92" s="62"/>
      <c r="CQ92" s="62"/>
      <c r="CR92" s="62"/>
      <c r="CS92" s="62"/>
      <c r="CT92" s="62"/>
      <c r="CU92" s="62"/>
      <c r="CV92" s="62"/>
      <c r="CW92" s="62"/>
      <c r="CX92" s="62"/>
      <c r="CY92" s="62"/>
      <c r="CZ92" s="62"/>
      <c r="DA92" s="62"/>
      <c r="DB92" s="62"/>
      <c r="DC92" s="62"/>
      <c r="DD92" s="62"/>
      <c r="EJ92" s="62"/>
      <c r="EK92" s="62"/>
    </row>
    <row r="93" spans="7:143" ht="21" hidden="1" thickBot="1" x14ac:dyDescent="0.25">
      <c r="G93" s="927"/>
      <c r="H93" s="43"/>
      <c r="I93" s="43"/>
      <c r="J93" s="43"/>
      <c r="K93" s="43"/>
      <c r="L93" s="43"/>
      <c r="M93" s="43"/>
      <c r="N93" s="43"/>
      <c r="O93" s="935"/>
      <c r="BN93" s="69"/>
      <c r="BO93" s="863"/>
      <c r="BP93" s="79">
        <v>5</v>
      </c>
      <c r="BQ93" s="103" t="b">
        <f>IF(BU98=5,1)</f>
        <v>0</v>
      </c>
      <c r="BR93" s="105"/>
      <c r="BS93" s="106"/>
      <c r="BT93" s="106"/>
      <c r="BU93" s="106"/>
      <c r="BV93" s="106"/>
      <c r="BW93" s="106"/>
      <c r="BX93" s="105"/>
      <c r="BY93" s="107" t="b">
        <f>IF(BU98=5,9)</f>
        <v>0</v>
      </c>
      <c r="BZ93" s="60"/>
      <c r="CA93" s="60"/>
      <c r="CB93" s="60"/>
      <c r="CC93" s="60"/>
      <c r="CD93" s="60"/>
      <c r="CE93" s="60"/>
      <c r="CF93" s="60"/>
      <c r="CG93" s="60"/>
      <c r="CH93" s="141"/>
      <c r="CI93" s="60"/>
      <c r="CJ93" s="140"/>
      <c r="CK93" s="60"/>
      <c r="CL93" s="60"/>
      <c r="CM93" s="60"/>
      <c r="CN93" s="60"/>
      <c r="CO93" s="62"/>
      <c r="CP93" s="62"/>
      <c r="CQ93" s="62"/>
      <c r="CR93" s="62"/>
      <c r="CS93" s="62"/>
      <c r="CT93" s="62"/>
      <c r="CU93" s="62"/>
      <c r="CV93" s="62"/>
      <c r="CW93" s="62"/>
      <c r="CX93" s="62"/>
      <c r="CY93" s="62"/>
      <c r="CZ93" s="62"/>
      <c r="DA93" s="62"/>
      <c r="DB93" s="62"/>
      <c r="DC93" s="62"/>
      <c r="DD93" s="62"/>
      <c r="EJ93" s="62"/>
      <c r="EK93" s="62"/>
    </row>
    <row r="94" spans="7:143" ht="21" hidden="1" thickBot="1" x14ac:dyDescent="0.25">
      <c r="G94" s="927"/>
      <c r="H94" s="43"/>
      <c r="I94" s="43"/>
      <c r="J94" s="43"/>
      <c r="K94" s="43"/>
      <c r="L94" s="43"/>
      <c r="M94" s="43"/>
      <c r="N94" s="43"/>
      <c r="O94" s="935"/>
      <c r="BN94" s="69"/>
      <c r="BO94" s="863"/>
      <c r="BP94" s="79">
        <v>4</v>
      </c>
      <c r="BQ94" s="103" t="b">
        <f>IF(BT98=4,1)</f>
        <v>0</v>
      </c>
      <c r="BR94" s="106"/>
      <c r="BS94" s="106"/>
      <c r="BT94" s="106"/>
      <c r="BU94" s="106"/>
      <c r="BV94" s="106"/>
      <c r="BW94" s="107" t="b">
        <f>IF(BT98=4,7)</f>
        <v>0</v>
      </c>
      <c r="BX94" s="60"/>
      <c r="BY94" s="142"/>
      <c r="BZ94" s="142"/>
      <c r="CA94" s="60"/>
      <c r="CB94" s="142"/>
      <c r="CC94" s="60"/>
      <c r="CD94" s="60"/>
      <c r="CE94" s="60"/>
      <c r="CF94" s="60"/>
      <c r="CG94" s="60"/>
      <c r="CH94" s="141"/>
      <c r="CI94" s="60"/>
      <c r="CJ94" s="140"/>
      <c r="CK94" s="60"/>
      <c r="CL94" s="60"/>
      <c r="CM94" s="60"/>
      <c r="CN94" s="60"/>
      <c r="CO94" s="62"/>
      <c r="CP94" s="62"/>
      <c r="CQ94" s="62"/>
      <c r="CR94" s="62"/>
      <c r="CS94" s="62"/>
      <c r="CT94" s="62"/>
      <c r="CU94" s="62"/>
      <c r="CV94" s="62"/>
      <c r="CW94" s="62"/>
      <c r="CX94" s="62"/>
      <c r="CY94" s="62"/>
      <c r="CZ94" s="62"/>
      <c r="DA94" s="62"/>
      <c r="DB94" s="62"/>
      <c r="DC94" s="62"/>
      <c r="DD94" s="62"/>
      <c r="EJ94" s="62"/>
      <c r="EK94" s="62"/>
    </row>
    <row r="95" spans="7:143" ht="21" hidden="1" thickBot="1" x14ac:dyDescent="0.25">
      <c r="G95" s="927"/>
      <c r="H95" s="43"/>
      <c r="I95" s="43"/>
      <c r="J95" s="43"/>
      <c r="K95" s="43"/>
      <c r="L95" s="43"/>
      <c r="M95" s="43"/>
      <c r="N95" s="43"/>
      <c r="O95" s="935"/>
      <c r="BN95" s="69"/>
      <c r="BO95" s="863"/>
      <c r="BP95" s="79">
        <v>3</v>
      </c>
      <c r="BQ95" s="103" t="b">
        <f>IF(BS98=3,1)</f>
        <v>0</v>
      </c>
      <c r="BR95" s="106"/>
      <c r="BS95" s="106"/>
      <c r="BT95" s="106"/>
      <c r="BU95" s="107" t="b">
        <f>IF(BS98=3,5)</f>
        <v>0</v>
      </c>
      <c r="BV95" s="60"/>
      <c r="BW95" s="60"/>
      <c r="BX95" s="60"/>
      <c r="BY95" s="60"/>
      <c r="BZ95" s="60"/>
      <c r="CA95" s="60"/>
      <c r="CB95" s="60"/>
      <c r="CC95" s="60"/>
      <c r="CD95" s="60"/>
      <c r="CE95" s="60"/>
      <c r="CF95" s="60"/>
      <c r="CG95" s="60"/>
      <c r="CH95" s="141"/>
      <c r="CI95" s="60"/>
      <c r="CJ95" s="140"/>
      <c r="CK95" s="60"/>
      <c r="CL95" s="60"/>
      <c r="CM95" s="60"/>
      <c r="CN95" s="60"/>
      <c r="CO95" s="62"/>
      <c r="CP95" s="62"/>
      <c r="CQ95" s="62"/>
      <c r="CR95" s="62"/>
      <c r="CS95" s="62"/>
      <c r="CT95" s="62"/>
      <c r="CU95" s="62"/>
      <c r="CV95" s="62"/>
      <c r="CW95" s="62"/>
      <c r="CX95" s="62"/>
      <c r="CY95" s="62"/>
      <c r="CZ95" s="62"/>
      <c r="DA95" s="62"/>
      <c r="DB95" s="62"/>
      <c r="DC95" s="62"/>
      <c r="DD95" s="62"/>
      <c r="EJ95" s="62"/>
      <c r="EK95" s="62"/>
    </row>
    <row r="96" spans="7:143" ht="20" hidden="1" x14ac:dyDescent="0.2">
      <c r="G96" s="927"/>
      <c r="H96" s="43"/>
      <c r="I96" s="43"/>
      <c r="J96" s="43"/>
      <c r="K96" s="43"/>
      <c r="L96" s="43"/>
      <c r="M96" s="43"/>
      <c r="N96" s="43"/>
      <c r="O96" s="935"/>
      <c r="BN96" s="69"/>
      <c r="BO96" s="863"/>
      <c r="BP96" s="79">
        <v>2</v>
      </c>
      <c r="BQ96" s="143" t="b">
        <f>IF(BR98=2,1)</f>
        <v>0</v>
      </c>
      <c r="BR96" s="144"/>
      <c r="BS96" s="145" t="b">
        <f>IF(BR98=2,3)</f>
        <v>0</v>
      </c>
      <c r="BT96" s="60"/>
      <c r="BU96" s="60"/>
      <c r="BV96" s="60"/>
      <c r="BW96" s="60"/>
      <c r="BX96" s="60"/>
      <c r="BY96" s="60"/>
      <c r="BZ96" s="60"/>
      <c r="CA96" s="60"/>
      <c r="CB96" s="60"/>
      <c r="CC96" s="60"/>
      <c r="CD96" s="60"/>
      <c r="CE96" s="60"/>
      <c r="CF96" s="60"/>
      <c r="CG96" s="60"/>
      <c r="CH96" s="141"/>
      <c r="CI96" s="60"/>
      <c r="CJ96" s="140"/>
      <c r="CK96" s="60"/>
      <c r="CL96" s="60"/>
      <c r="CM96" s="60"/>
      <c r="CN96" s="60"/>
      <c r="CO96" s="62"/>
      <c r="CP96" s="62"/>
      <c r="CQ96" s="62"/>
      <c r="CR96" s="62"/>
      <c r="CS96" s="62"/>
      <c r="CT96" s="62"/>
      <c r="CU96" s="62"/>
      <c r="CV96" s="62"/>
      <c r="CW96" s="62"/>
      <c r="CX96" s="62"/>
      <c r="CY96" s="62"/>
      <c r="CZ96" s="62"/>
      <c r="DA96" s="62"/>
      <c r="DB96" s="62"/>
      <c r="DC96" s="62"/>
      <c r="DD96" s="62"/>
      <c r="EJ96" s="62"/>
      <c r="EK96" s="62"/>
    </row>
    <row r="97" spans="2:141" ht="28.5" hidden="1" customHeight="1" thickBot="1" x14ac:dyDescent="0.25">
      <c r="G97" s="927"/>
      <c r="H97" s="43"/>
      <c r="I97" s="43"/>
      <c r="J97" s="43"/>
      <c r="K97" s="43"/>
      <c r="L97" s="43"/>
      <c r="M97" s="43"/>
      <c r="N97" s="43"/>
      <c r="O97" s="935"/>
      <c r="BN97" s="69"/>
      <c r="BO97" s="863"/>
      <c r="BP97" s="146"/>
      <c r="BQ97" s="147">
        <f>SUM(BQ62:BQ96)</f>
        <v>0</v>
      </c>
      <c r="BR97" s="147">
        <f t="shared" ref="BR97:DA97" si="1">SUM(BR62:BR96)</f>
        <v>0</v>
      </c>
      <c r="BS97" s="147">
        <f t="shared" si="1"/>
        <v>0</v>
      </c>
      <c r="BT97" s="147">
        <f t="shared" si="1"/>
        <v>0</v>
      </c>
      <c r="BU97" s="147">
        <f t="shared" si="1"/>
        <v>0</v>
      </c>
      <c r="BV97" s="147">
        <f t="shared" si="1"/>
        <v>0</v>
      </c>
      <c r="BW97" s="147">
        <f t="shared" si="1"/>
        <v>0</v>
      </c>
      <c r="BX97" s="147">
        <f t="shared" si="1"/>
        <v>0</v>
      </c>
      <c r="BY97" s="147">
        <f t="shared" si="1"/>
        <v>0</v>
      </c>
      <c r="BZ97" s="147">
        <f t="shared" si="1"/>
        <v>10</v>
      </c>
      <c r="CA97" s="147">
        <f t="shared" si="1"/>
        <v>0</v>
      </c>
      <c r="CB97" s="147">
        <f t="shared" si="1"/>
        <v>0</v>
      </c>
      <c r="CC97" s="147">
        <f t="shared" si="1"/>
        <v>0</v>
      </c>
      <c r="CD97" s="147">
        <f t="shared" si="1"/>
        <v>0</v>
      </c>
      <c r="CE97" s="147">
        <f t="shared" si="1"/>
        <v>0</v>
      </c>
      <c r="CF97" s="147">
        <f t="shared" si="1"/>
        <v>0</v>
      </c>
      <c r="CG97" s="648">
        <f t="shared" si="1"/>
        <v>0</v>
      </c>
      <c r="CH97" s="649"/>
      <c r="CI97" s="647"/>
      <c r="CJ97" s="650"/>
      <c r="CK97" s="630">
        <f t="shared" si="1"/>
        <v>0</v>
      </c>
      <c r="CL97" s="147">
        <f t="shared" si="1"/>
        <v>0</v>
      </c>
      <c r="CM97" s="147">
        <f t="shared" si="1"/>
        <v>0</v>
      </c>
      <c r="CN97" s="147">
        <f t="shared" si="1"/>
        <v>0</v>
      </c>
      <c r="CO97" s="147">
        <f t="shared" si="1"/>
        <v>0</v>
      </c>
      <c r="CP97" s="147">
        <f t="shared" si="1"/>
        <v>26</v>
      </c>
      <c r="CQ97" s="147">
        <f t="shared" si="1"/>
        <v>0</v>
      </c>
      <c r="CR97" s="147">
        <f t="shared" si="1"/>
        <v>0</v>
      </c>
      <c r="CS97" s="147">
        <f t="shared" si="1"/>
        <v>0</v>
      </c>
      <c r="CT97" s="147">
        <f t="shared" si="1"/>
        <v>0</v>
      </c>
      <c r="CU97" s="147">
        <f t="shared" si="1"/>
        <v>0</v>
      </c>
      <c r="CV97" s="147">
        <f t="shared" si="1"/>
        <v>0</v>
      </c>
      <c r="CW97" s="147">
        <f t="shared" si="1"/>
        <v>0</v>
      </c>
      <c r="CX97" s="147">
        <f t="shared" si="1"/>
        <v>0</v>
      </c>
      <c r="CY97" s="147">
        <f t="shared" si="1"/>
        <v>0</v>
      </c>
      <c r="CZ97" s="147">
        <f t="shared" si="1"/>
        <v>0</v>
      </c>
      <c r="DA97" s="147">
        <f t="shared" si="1"/>
        <v>0</v>
      </c>
      <c r="DB97" s="62"/>
      <c r="DC97" s="62"/>
      <c r="DD97" s="62"/>
      <c r="EJ97" s="62"/>
      <c r="EK97" s="62"/>
    </row>
    <row r="98" spans="2:141" ht="20" hidden="1" x14ac:dyDescent="0.2">
      <c r="G98" s="927"/>
      <c r="H98" s="43"/>
      <c r="I98" s="43"/>
      <c r="J98" s="43"/>
      <c r="K98" s="43"/>
      <c r="L98" s="43"/>
      <c r="M98" s="43"/>
      <c r="N98" s="43"/>
      <c r="O98" s="935"/>
      <c r="BM98" s="305"/>
      <c r="BN98" s="171"/>
      <c r="BO98" s="863"/>
      <c r="BP98" s="60"/>
      <c r="BQ98" s="833" t="b">
        <f>+BK183</f>
        <v>0</v>
      </c>
      <c r="BR98" s="834" t="b">
        <f>+BK184</f>
        <v>0</v>
      </c>
      <c r="BS98" s="834" t="b">
        <f>+BK185</f>
        <v>0</v>
      </c>
      <c r="BT98" s="834" t="b">
        <f>+BK186</f>
        <v>0</v>
      </c>
      <c r="BU98" s="834" t="b">
        <f>+BK187</f>
        <v>0</v>
      </c>
      <c r="BV98" s="834" t="b">
        <f>+BK188</f>
        <v>0</v>
      </c>
      <c r="BW98" s="834" t="b">
        <f>+BK189</f>
        <v>0</v>
      </c>
      <c r="BX98" s="834" t="b">
        <f>+BK190</f>
        <v>0</v>
      </c>
      <c r="BY98" s="834" t="b">
        <f>+BK191</f>
        <v>0</v>
      </c>
      <c r="BZ98" s="834" t="b">
        <f>+BK192</f>
        <v>0</v>
      </c>
      <c r="CA98" s="834" t="b">
        <f>+BK193</f>
        <v>0</v>
      </c>
      <c r="CB98" s="834" t="b">
        <f>+BK194</f>
        <v>0</v>
      </c>
      <c r="CC98" s="834" t="b">
        <f>+BK195</f>
        <v>0</v>
      </c>
      <c r="CD98" s="834" t="b">
        <f>+BK196</f>
        <v>0</v>
      </c>
      <c r="CE98" s="834" t="b">
        <f>+BK197</f>
        <v>0</v>
      </c>
      <c r="CF98" s="834" t="b">
        <f>+BK198</f>
        <v>0</v>
      </c>
      <c r="CG98" s="651" t="b">
        <f>+BK199</f>
        <v>0</v>
      </c>
      <c r="CH98" s="651">
        <f>+BK200</f>
        <v>18</v>
      </c>
      <c r="CI98" s="651" t="b">
        <f>+BK201</f>
        <v>0</v>
      </c>
      <c r="CJ98" s="651" t="b">
        <f>+BK202</f>
        <v>0</v>
      </c>
      <c r="CK98" s="651" t="b">
        <f>+BK203</f>
        <v>0</v>
      </c>
      <c r="CL98" s="834" t="b">
        <f>+BK204</f>
        <v>0</v>
      </c>
      <c r="CM98" s="834" t="b">
        <f>+BK205</f>
        <v>0</v>
      </c>
      <c r="CN98" s="834" t="b">
        <f>+BK206</f>
        <v>0</v>
      </c>
      <c r="CO98" s="834" t="b">
        <f>+BK207</f>
        <v>0</v>
      </c>
      <c r="CP98" s="834" t="b">
        <f>+BK208</f>
        <v>0</v>
      </c>
      <c r="CQ98" s="834" t="b">
        <f>+BK209</f>
        <v>0</v>
      </c>
      <c r="CR98" s="834" t="b">
        <f>+BK210</f>
        <v>0</v>
      </c>
      <c r="CS98" s="834" t="b">
        <f>+BK211</f>
        <v>0</v>
      </c>
      <c r="CT98" s="834" t="b">
        <f>+BK212</f>
        <v>0</v>
      </c>
      <c r="CU98" s="834" t="b">
        <f>+BK213</f>
        <v>0</v>
      </c>
      <c r="CV98" s="834" t="b">
        <f>+BK214</f>
        <v>0</v>
      </c>
      <c r="CW98" s="834" t="b">
        <f>+BK215</f>
        <v>0</v>
      </c>
      <c r="CX98" s="834" t="b">
        <f>+BK216</f>
        <v>0</v>
      </c>
      <c r="CY98" s="834" t="b">
        <f>+BK217</f>
        <v>0</v>
      </c>
      <c r="CZ98" s="834" t="b">
        <f>+BK218</f>
        <v>0</v>
      </c>
      <c r="DA98" s="835" t="b">
        <f>+BK219</f>
        <v>0</v>
      </c>
      <c r="DB98" s="179"/>
      <c r="DC98" s="62"/>
      <c r="DD98" s="62"/>
    </row>
    <row r="99" spans="2:141" ht="21" hidden="1" thickBot="1" x14ac:dyDescent="0.25">
      <c r="G99" s="927"/>
      <c r="H99" s="43"/>
      <c r="I99" s="43"/>
      <c r="J99" s="43"/>
      <c r="K99" s="43"/>
      <c r="L99" s="43"/>
      <c r="M99" s="43"/>
      <c r="N99" s="43"/>
      <c r="O99" s="935"/>
      <c r="BM99" s="305"/>
      <c r="BN99" s="171"/>
      <c r="BO99" s="863"/>
      <c r="BP99" s="62"/>
      <c r="BQ99" s="652" t="b">
        <f>+BQ98</f>
        <v>0</v>
      </c>
      <c r="BR99" s="653" t="b">
        <f t="shared" ref="BR99:CI99" si="2">+BR98</f>
        <v>0</v>
      </c>
      <c r="BS99" s="653" t="b">
        <f t="shared" si="2"/>
        <v>0</v>
      </c>
      <c r="BT99" s="653" t="b">
        <f t="shared" si="2"/>
        <v>0</v>
      </c>
      <c r="BU99" s="653" t="b">
        <f t="shared" si="2"/>
        <v>0</v>
      </c>
      <c r="BV99" s="653" t="b">
        <f t="shared" si="2"/>
        <v>0</v>
      </c>
      <c r="BW99" s="653" t="b">
        <f>+BW98</f>
        <v>0</v>
      </c>
      <c r="BX99" s="653" t="b">
        <f t="shared" si="2"/>
        <v>0</v>
      </c>
      <c r="BY99" s="653" t="b">
        <f t="shared" si="2"/>
        <v>0</v>
      </c>
      <c r="BZ99" s="653" t="b">
        <f t="shared" si="2"/>
        <v>0</v>
      </c>
      <c r="CA99" s="653" t="b">
        <f t="shared" si="2"/>
        <v>0</v>
      </c>
      <c r="CB99" s="653" t="b">
        <f>+CB98</f>
        <v>0</v>
      </c>
      <c r="CC99" s="653" t="b">
        <f>+CC98</f>
        <v>0</v>
      </c>
      <c r="CD99" s="653" t="b">
        <f>+CD98</f>
        <v>0</v>
      </c>
      <c r="CE99" s="653" t="b">
        <f>+CE98</f>
        <v>0</v>
      </c>
      <c r="CF99" s="653" t="b">
        <f>+CF98</f>
        <v>0</v>
      </c>
      <c r="CG99" s="653" t="b">
        <f t="shared" si="2"/>
        <v>0</v>
      </c>
      <c r="CH99" s="653">
        <f t="shared" si="2"/>
        <v>18</v>
      </c>
      <c r="CI99" s="653" t="b">
        <f t="shared" si="2"/>
        <v>0</v>
      </c>
      <c r="CJ99" s="653" t="b">
        <f>+CJ98</f>
        <v>0</v>
      </c>
      <c r="CK99" s="653" t="b">
        <f>+CK98</f>
        <v>0</v>
      </c>
      <c r="CL99" s="653" t="b">
        <f t="shared" ref="CL99:DA99" si="3">+CL98</f>
        <v>0</v>
      </c>
      <c r="CM99" s="653" t="b">
        <f t="shared" si="3"/>
        <v>0</v>
      </c>
      <c r="CN99" s="653" t="b">
        <f t="shared" si="3"/>
        <v>0</v>
      </c>
      <c r="CO99" s="653" t="b">
        <f t="shared" si="3"/>
        <v>0</v>
      </c>
      <c r="CP99" s="653" t="b">
        <f t="shared" si="3"/>
        <v>0</v>
      </c>
      <c r="CQ99" s="653" t="b">
        <f t="shared" si="3"/>
        <v>0</v>
      </c>
      <c r="CR99" s="653" t="b">
        <f t="shared" si="3"/>
        <v>0</v>
      </c>
      <c r="CS99" s="653" t="b">
        <f t="shared" si="3"/>
        <v>0</v>
      </c>
      <c r="CT99" s="653" t="b">
        <f t="shared" si="3"/>
        <v>0</v>
      </c>
      <c r="CU99" s="653" t="b">
        <f t="shared" si="3"/>
        <v>0</v>
      </c>
      <c r="CV99" s="653" t="b">
        <f t="shared" si="3"/>
        <v>0</v>
      </c>
      <c r="CW99" s="653" t="b">
        <f t="shared" si="3"/>
        <v>0</v>
      </c>
      <c r="CX99" s="653" t="b">
        <f t="shared" si="3"/>
        <v>0</v>
      </c>
      <c r="CY99" s="653" t="b">
        <f t="shared" si="3"/>
        <v>0</v>
      </c>
      <c r="CZ99" s="653" t="b">
        <f t="shared" si="3"/>
        <v>0</v>
      </c>
      <c r="DA99" s="654" t="b">
        <f t="shared" si="3"/>
        <v>0</v>
      </c>
      <c r="DB99" s="179"/>
      <c r="DC99" s="62"/>
      <c r="DD99" s="62"/>
    </row>
    <row r="100" spans="2:141" ht="160.5" customHeight="1" thickBot="1" x14ac:dyDescent="0.25">
      <c r="G100" s="927"/>
      <c r="H100" s="43"/>
      <c r="I100" s="43"/>
      <c r="J100" s="43"/>
      <c r="K100" s="43"/>
      <c r="L100" s="43"/>
      <c r="M100" s="43"/>
      <c r="N100" s="43"/>
      <c r="O100" s="935"/>
      <c r="BN100" s="69"/>
      <c r="BO100" s="863"/>
      <c r="BP100" s="146"/>
      <c r="BQ100" s="153"/>
      <c r="BR100" s="153"/>
      <c r="BS100" s="153"/>
      <c r="BT100" s="153"/>
      <c r="BU100" s="153"/>
      <c r="BV100" s="153"/>
      <c r="BW100" s="153"/>
      <c r="BX100" s="153"/>
      <c r="BY100" s="153"/>
      <c r="BZ100" s="153"/>
      <c r="CA100" s="153"/>
      <c r="CB100" s="153"/>
      <c r="CC100" s="153"/>
      <c r="CD100" s="153"/>
      <c r="CE100" s="153"/>
      <c r="CF100" s="153"/>
      <c r="CG100" s="153"/>
      <c r="CH100" s="153"/>
      <c r="CI100" s="153"/>
      <c r="CJ100" s="153"/>
      <c r="CK100" s="153"/>
      <c r="CL100" s="153"/>
      <c r="CM100" s="153"/>
      <c r="CN100" s="153"/>
      <c r="CO100" s="153"/>
      <c r="CP100" s="153"/>
      <c r="CQ100" s="153"/>
      <c r="CR100" s="153"/>
      <c r="CS100" s="153"/>
      <c r="CT100" s="153"/>
      <c r="CU100" s="153"/>
      <c r="CV100" s="153"/>
      <c r="CW100" s="153"/>
      <c r="CX100" s="153"/>
      <c r="CY100" s="153"/>
      <c r="CZ100" s="153"/>
      <c r="DA100" s="153"/>
      <c r="DB100" s="62"/>
      <c r="DC100" s="62"/>
      <c r="DD100" s="62"/>
      <c r="EJ100" s="62"/>
      <c r="EK100" s="62"/>
    </row>
    <row r="101" spans="2:141" ht="43.5" customHeight="1" thickBot="1" x14ac:dyDescent="0.3">
      <c r="G101" s="927"/>
      <c r="H101" s="43"/>
      <c r="I101" s="43"/>
      <c r="J101" s="43"/>
      <c r="K101" s="43"/>
      <c r="L101" s="43"/>
      <c r="M101" s="43"/>
      <c r="N101" s="43"/>
      <c r="O101" s="935"/>
      <c r="BN101" s="69"/>
      <c r="BO101" s="866" t="s">
        <v>112</v>
      </c>
      <c r="BP101" s="155" t="s">
        <v>109</v>
      </c>
      <c r="BQ101" s="593" t="str">
        <f>IF(BQ97=1,17,"")</f>
        <v/>
      </c>
      <c r="BR101" s="594" t="str">
        <f>IF(BR97=2,16,"")</f>
        <v/>
      </c>
      <c r="BS101" s="594" t="str">
        <f>IF(BS97=3,15,"")</f>
        <v/>
      </c>
      <c r="BT101" s="594" t="str">
        <f>IF(BT97=4,14,"")</f>
        <v/>
      </c>
      <c r="BU101" s="594" t="str">
        <f>IF(BU97=5,13,"")</f>
        <v/>
      </c>
      <c r="BV101" s="594" t="str">
        <f>IF(BV97=6,12,"")</f>
        <v/>
      </c>
      <c r="BW101" s="594" t="str">
        <f>IF(BW97=7,11,"")</f>
        <v/>
      </c>
      <c r="BX101" s="594" t="str">
        <f>IF(BX97=8,10,"")</f>
        <v/>
      </c>
      <c r="BY101" s="594" t="str">
        <f>IF(BY97=9,9,"")</f>
        <v/>
      </c>
      <c r="BZ101" s="594">
        <f>IF(BZ97=10,8,"")</f>
        <v>8</v>
      </c>
      <c r="CA101" s="594" t="str">
        <f>IF(CA97=11,7,"")</f>
        <v/>
      </c>
      <c r="CB101" s="595" t="str">
        <f>IF(CB97=12,"6  ADS ","")</f>
        <v/>
      </c>
      <c r="CC101" s="594" t="str">
        <f>IF(CC97=13,5,"")</f>
        <v/>
      </c>
      <c r="CD101" s="594" t="str">
        <f>IF(CD97=14,4,"")</f>
        <v/>
      </c>
      <c r="CE101" s="594" t="str">
        <f>IF(CE97=15,3,"")</f>
        <v/>
      </c>
      <c r="CF101" s="594" t="str">
        <f>IF(CF97=16,2,"")</f>
        <v/>
      </c>
      <c r="CG101" s="594" t="str">
        <f>IF(CG97=17,1,"")</f>
        <v/>
      </c>
      <c r="CH101" s="156"/>
      <c r="CI101" s="157"/>
      <c r="CJ101" s="158"/>
      <c r="CK101" s="596" t="str">
        <f>IF(CK97=21,1,"")</f>
        <v/>
      </c>
      <c r="CL101" s="596" t="str">
        <f>IF(CL97=22,2,"")</f>
        <v/>
      </c>
      <c r="CM101" s="596" t="str">
        <f>IF(CM97=23,3,"")</f>
        <v/>
      </c>
      <c r="CN101" s="596" t="str">
        <f>IF(CN97=24,4,"")</f>
        <v/>
      </c>
      <c r="CO101" s="596" t="str">
        <f>IF(CO97=25,5,"")</f>
        <v/>
      </c>
      <c r="CP101" s="597" t="str">
        <f>IF(CP97=26,"6  ADS ","")</f>
        <v xml:space="preserve">6  ADS </v>
      </c>
      <c r="CQ101" s="596" t="str">
        <f>IF(CQ97=27,7,"")</f>
        <v/>
      </c>
      <c r="CR101" s="596" t="str">
        <f>IF(CR97=28,8,"")</f>
        <v/>
      </c>
      <c r="CS101" s="596" t="str">
        <f>IF(CS97=29,9,"")</f>
        <v/>
      </c>
      <c r="CT101" s="596" t="str">
        <f>IF(CT97=30,10,"")</f>
        <v/>
      </c>
      <c r="CU101" s="596" t="str">
        <f>IF(CU97=31,11,"")</f>
        <v/>
      </c>
      <c r="CV101" s="596" t="str">
        <f>IF(CV97=32,12,"")</f>
        <v/>
      </c>
      <c r="CW101" s="596" t="str">
        <f>IF(CW97=33,13,"")</f>
        <v/>
      </c>
      <c r="CX101" s="596" t="str">
        <f>IF(CX97=34,14,"")</f>
        <v/>
      </c>
      <c r="CY101" s="596" t="str">
        <f>IF(CY97=35,15,"")</f>
        <v/>
      </c>
      <c r="CZ101" s="596" t="str">
        <f>IF(CZ97=36,16,"")</f>
        <v/>
      </c>
      <c r="DA101" s="598" t="str">
        <f>IF(DA97=37,17,"")</f>
        <v/>
      </c>
      <c r="DB101" s="281"/>
      <c r="DC101" s="62"/>
      <c r="DD101" s="62"/>
      <c r="EJ101" s="62"/>
      <c r="EK101" s="62"/>
    </row>
    <row r="102" spans="2:141" ht="43.5" customHeight="1" thickBot="1" x14ac:dyDescent="0.3">
      <c r="G102" s="927"/>
      <c r="H102" s="43"/>
      <c r="I102" s="43"/>
      <c r="J102" s="43"/>
      <c r="K102" s="43"/>
      <c r="L102" s="43"/>
      <c r="M102" s="43"/>
      <c r="N102" s="43"/>
      <c r="O102" s="935"/>
      <c r="BL102" s="767">
        <v>6</v>
      </c>
      <c r="BM102" s="1055" t="b">
        <f>AND(BO102&gt;=10,$AZ$150&gt;=10,$BA$150&gt;=10,$AZ$177&gt;=10,$BA$177&gt;=10)</f>
        <v>1</v>
      </c>
      <c r="BN102" s="67" t="str">
        <f>IF(BM102=TRUE,"O K","OVERLOAD")</f>
        <v>O K</v>
      </c>
      <c r="BO102" s="781">
        <f>SUM(I132:M132)</f>
        <v>87.28859792689579</v>
      </c>
      <c r="BP102" s="631" t="s">
        <v>139</v>
      </c>
      <c r="BQ102" s="632">
        <v>-10</v>
      </c>
      <c r="BR102" s="632">
        <v>-9</v>
      </c>
      <c r="BS102" s="632">
        <v>-8</v>
      </c>
      <c r="BT102" s="632">
        <v>-7</v>
      </c>
      <c r="BU102" s="632">
        <v>-6</v>
      </c>
      <c r="BV102" s="632">
        <v>-5</v>
      </c>
      <c r="BW102" s="632">
        <v>-4</v>
      </c>
      <c r="BX102" s="632">
        <v>-3</v>
      </c>
      <c r="BY102" s="632">
        <v>-2</v>
      </c>
      <c r="BZ102" s="632">
        <v>-1</v>
      </c>
      <c r="CA102" s="632">
        <v>0</v>
      </c>
      <c r="CB102" s="632">
        <v>1</v>
      </c>
      <c r="CC102" s="632">
        <v>2</v>
      </c>
      <c r="CD102" s="632">
        <v>3</v>
      </c>
      <c r="CE102" s="632">
        <v>4</v>
      </c>
      <c r="CF102" s="632">
        <v>5</v>
      </c>
      <c r="CG102" s="632">
        <v>6</v>
      </c>
      <c r="CH102" s="632">
        <v>7</v>
      </c>
      <c r="CI102" s="632">
        <v>8</v>
      </c>
      <c r="CJ102" s="632">
        <v>9</v>
      </c>
      <c r="CK102" s="632">
        <v>10</v>
      </c>
      <c r="CL102" s="632">
        <v>11</v>
      </c>
      <c r="CM102" s="632">
        <v>12</v>
      </c>
      <c r="CN102" s="632">
        <v>13</v>
      </c>
      <c r="CO102" s="632">
        <v>14</v>
      </c>
      <c r="CP102" s="632">
        <v>15</v>
      </c>
      <c r="CQ102" s="632">
        <v>16</v>
      </c>
      <c r="CR102" s="632">
        <v>17</v>
      </c>
      <c r="CS102" s="632">
        <v>18</v>
      </c>
      <c r="CT102" s="632">
        <v>19</v>
      </c>
      <c r="CU102" s="632">
        <v>20</v>
      </c>
      <c r="CV102" s="632">
        <v>21</v>
      </c>
      <c r="CW102" s="632">
        <v>22</v>
      </c>
      <c r="CX102" s="632">
        <v>23</v>
      </c>
      <c r="CY102" s="632">
        <v>24</v>
      </c>
      <c r="CZ102" s="632">
        <v>25</v>
      </c>
      <c r="DA102" s="634">
        <v>26</v>
      </c>
      <c r="DB102" s="62"/>
      <c r="DC102" s="62"/>
      <c r="DD102" s="62"/>
      <c r="EJ102" s="62"/>
      <c r="EK102" s="62"/>
    </row>
    <row r="103" spans="2:141" ht="21" hidden="1" thickBot="1" x14ac:dyDescent="0.25">
      <c r="E103" s="300"/>
      <c r="F103" s="300"/>
      <c r="G103" s="927"/>
      <c r="H103" s="43"/>
      <c r="I103" s="43"/>
      <c r="J103" s="43"/>
      <c r="K103" s="43"/>
      <c r="L103" s="43"/>
      <c r="M103" s="43"/>
      <c r="N103" s="43"/>
      <c r="O103" s="935"/>
      <c r="U103" s="97"/>
      <c r="AB103" s="97"/>
      <c r="AC103" s="97"/>
      <c r="AD103" s="97"/>
      <c r="AE103" s="97"/>
      <c r="BM103" s="305"/>
      <c r="BN103" s="119"/>
      <c r="BO103" s="863"/>
      <c r="BP103" s="62"/>
      <c r="BQ103" s="182"/>
      <c r="BR103" s="182"/>
      <c r="BS103" s="182"/>
      <c r="BT103" s="182"/>
      <c r="BU103" s="182"/>
      <c r="BV103" s="182"/>
      <c r="BW103" s="182"/>
      <c r="BX103" s="182"/>
      <c r="BY103" s="182"/>
      <c r="BZ103" s="182"/>
      <c r="CA103" s="182"/>
      <c r="CB103" s="182"/>
      <c r="CC103" s="182"/>
      <c r="CD103" s="182"/>
      <c r="CE103" s="182"/>
      <c r="CF103" s="182"/>
      <c r="CG103" s="182"/>
      <c r="CH103" s="182"/>
      <c r="CI103" s="182"/>
      <c r="CJ103" s="182"/>
      <c r="CK103" s="182"/>
      <c r="CL103" s="182"/>
      <c r="CM103" s="182"/>
      <c r="CN103" s="182"/>
      <c r="CO103" s="182"/>
      <c r="CP103" s="182"/>
      <c r="CQ103" s="182"/>
      <c r="CR103" s="182"/>
      <c r="CS103" s="182"/>
      <c r="CT103" s="182"/>
      <c r="CU103" s="182"/>
      <c r="CV103" s="182"/>
      <c r="CW103" s="182"/>
      <c r="CX103" s="182"/>
      <c r="CY103" s="182"/>
      <c r="CZ103" s="182"/>
      <c r="DA103" s="182"/>
      <c r="DB103" s="182"/>
    </row>
    <row r="104" spans="2:141" ht="20" hidden="1" x14ac:dyDescent="0.2">
      <c r="D104" s="300"/>
      <c r="E104" s="300"/>
      <c r="F104" s="300"/>
      <c r="G104" s="927"/>
      <c r="H104" s="43"/>
      <c r="I104" s="43"/>
      <c r="J104" s="43"/>
      <c r="K104" s="43"/>
      <c r="L104" s="43"/>
      <c r="M104" s="43"/>
      <c r="N104" s="43"/>
      <c r="O104" s="935"/>
      <c r="U104" s="97"/>
      <c r="AB104" s="97"/>
      <c r="AC104" s="97"/>
      <c r="AD104" s="97"/>
      <c r="AE104" s="97"/>
      <c r="BM104" s="305"/>
      <c r="BN104" s="119"/>
      <c r="BO104" s="863"/>
      <c r="BP104" s="60"/>
      <c r="BQ104" s="60"/>
      <c r="BR104" s="60"/>
      <c r="BS104" s="60"/>
      <c r="BT104" s="60"/>
      <c r="BU104" s="60"/>
      <c r="BV104" s="185"/>
      <c r="BW104" s="185"/>
      <c r="BX104" s="185"/>
      <c r="BY104" s="185"/>
      <c r="BZ104" s="185"/>
      <c r="CA104" s="185"/>
      <c r="CB104" s="185"/>
      <c r="CC104" s="185"/>
      <c r="CD104" s="185"/>
      <c r="CE104" s="185"/>
      <c r="CF104" s="185"/>
      <c r="CG104" s="185"/>
      <c r="CH104" s="185"/>
      <c r="CI104" s="185"/>
      <c r="CJ104" s="62"/>
      <c r="CK104" s="62"/>
      <c r="CL104" s="62"/>
      <c r="CM104" s="62"/>
      <c r="CN104" s="62"/>
      <c r="CO104" s="62"/>
      <c r="CP104" s="62"/>
      <c r="CQ104" s="62"/>
      <c r="CR104" s="62"/>
      <c r="CS104" s="62"/>
      <c r="CT104" s="62"/>
      <c r="CU104" s="62"/>
      <c r="CV104" s="62"/>
      <c r="CW104" s="62"/>
      <c r="CX104" s="62"/>
      <c r="CY104" s="62"/>
      <c r="CZ104" s="62"/>
      <c r="DA104" s="62"/>
      <c r="DB104" s="62"/>
      <c r="DC104" s="62"/>
      <c r="DD104" s="62"/>
    </row>
    <row r="105" spans="2:141" hidden="1" x14ac:dyDescent="0.2">
      <c r="D105" s="300"/>
      <c r="E105" s="300"/>
      <c r="F105" s="300"/>
      <c r="G105" s="927"/>
      <c r="H105" s="43"/>
      <c r="I105" s="43"/>
      <c r="J105" s="43"/>
      <c r="K105" s="43"/>
      <c r="L105" s="43"/>
      <c r="M105" s="43"/>
      <c r="N105" s="43"/>
      <c r="O105" s="935"/>
      <c r="U105" s="97"/>
      <c r="AB105" s="97"/>
      <c r="AC105" s="97"/>
      <c r="AD105" s="97"/>
      <c r="AE105" s="97"/>
      <c r="BM105" s="305"/>
      <c r="BN105" s="119"/>
      <c r="BO105" s="863"/>
      <c r="BP105" s="109"/>
      <c r="BQ105" s="109"/>
      <c r="BR105" s="109"/>
      <c r="BS105" s="109"/>
      <c r="BT105" s="109"/>
      <c r="BU105" s="109"/>
      <c r="BV105" s="186"/>
      <c r="BW105" s="186"/>
      <c r="BX105" s="186"/>
      <c r="BY105" s="186"/>
      <c r="BZ105" s="186"/>
      <c r="CA105" s="186"/>
      <c r="CB105" s="186"/>
      <c r="CC105" s="186"/>
      <c r="CD105" s="186"/>
      <c r="CE105" s="186"/>
      <c r="CF105" s="186"/>
      <c r="CG105" s="186"/>
      <c r="CH105" s="186"/>
      <c r="CI105" s="186"/>
    </row>
    <row r="106" spans="2:141" hidden="1" x14ac:dyDescent="0.2">
      <c r="B106" s="302"/>
      <c r="C106" s="302"/>
      <c r="D106" s="300"/>
      <c r="E106" s="300"/>
      <c r="F106" s="300"/>
      <c r="G106" s="927"/>
      <c r="H106" s="43"/>
      <c r="I106" s="43"/>
      <c r="J106" s="43"/>
      <c r="K106" s="43"/>
      <c r="L106" s="43"/>
      <c r="M106" s="43"/>
      <c r="N106" s="43"/>
      <c r="O106" s="935"/>
      <c r="U106" s="97"/>
      <c r="AB106" s="97"/>
      <c r="AC106" s="97"/>
      <c r="AD106" s="97"/>
      <c r="AE106" s="97"/>
      <c r="BL106" s="187" t="s">
        <v>53</v>
      </c>
      <c r="BM106" s="305"/>
      <c r="BN106" s="170"/>
      <c r="BO106" s="863"/>
      <c r="BP106" s="48"/>
      <c r="BS106" s="109"/>
      <c r="BT106" s="109"/>
      <c r="BU106" s="109"/>
      <c r="BV106" s="186"/>
      <c r="BW106" s="186"/>
      <c r="BX106" s="186"/>
      <c r="BY106" s="186"/>
      <c r="BZ106" s="186"/>
      <c r="CA106" s="186"/>
      <c r="CB106" s="186"/>
      <c r="CC106" s="186"/>
      <c r="CD106" s="186"/>
      <c r="CE106" s="186"/>
      <c r="CF106" s="186"/>
      <c r="CG106" s="186"/>
      <c r="CH106" s="186"/>
      <c r="CI106" s="186"/>
      <c r="CR106" s="48"/>
      <c r="DD106" s="187" t="s">
        <v>52</v>
      </c>
    </row>
    <row r="107" spans="2:141" hidden="1" x14ac:dyDescent="0.2">
      <c r="B107" s="302"/>
      <c r="C107" s="302"/>
      <c r="D107" s="300"/>
      <c r="E107" s="300"/>
      <c r="F107" s="300"/>
      <c r="G107" s="927"/>
      <c r="H107" s="43"/>
      <c r="I107" s="43"/>
      <c r="J107" s="43"/>
      <c r="K107" s="43"/>
      <c r="L107" s="43"/>
      <c r="M107" s="43"/>
      <c r="N107" s="43"/>
      <c r="O107" s="935"/>
      <c r="U107" s="97"/>
      <c r="AB107" s="97"/>
      <c r="AC107" s="97"/>
      <c r="AD107" s="97"/>
      <c r="AE107" s="97"/>
      <c r="BL107" s="187">
        <f>-+BH183</f>
        <v>710.84047341718883</v>
      </c>
      <c r="BM107" s="305"/>
      <c r="BN107" s="170"/>
      <c r="BO107" s="863"/>
      <c r="BP107" s="48"/>
      <c r="BS107" s="109"/>
      <c r="BT107" s="109"/>
      <c r="BU107" s="109"/>
      <c r="BV107" s="186"/>
      <c r="BW107" s="186"/>
      <c r="BX107" s="186"/>
      <c r="BY107" s="186"/>
      <c r="BZ107" s="186"/>
      <c r="CA107" s="186"/>
      <c r="CB107" s="186"/>
      <c r="CC107" s="186"/>
      <c r="CD107" s="186"/>
      <c r="CE107" s="186"/>
      <c r="CF107" s="186"/>
      <c r="CG107" s="186"/>
      <c r="CH107" s="186"/>
      <c r="CI107" s="186"/>
      <c r="CP107" s="195"/>
      <c r="CR107" s="48"/>
      <c r="DD107" s="187">
        <f>+-BH219</f>
        <v>-837.15952658281117</v>
      </c>
    </row>
    <row r="108" spans="2:141" hidden="1" x14ac:dyDescent="0.2">
      <c r="B108" s="304"/>
      <c r="E108" s="300"/>
      <c r="F108" s="300"/>
      <c r="G108" s="927"/>
      <c r="H108" s="43"/>
      <c r="I108" s="43"/>
      <c r="J108" s="43"/>
      <c r="K108" s="43"/>
      <c r="L108" s="43"/>
      <c r="M108" s="43"/>
      <c r="N108" s="43"/>
      <c r="O108" s="935"/>
      <c r="U108" s="97"/>
      <c r="AB108" s="97"/>
      <c r="AC108" s="97"/>
      <c r="AD108" s="97"/>
      <c r="AE108" s="97"/>
      <c r="BM108" s="305"/>
      <c r="BN108" s="119"/>
      <c r="BO108" s="863"/>
      <c r="BP108" s="109"/>
      <c r="BQ108" s="109"/>
      <c r="BR108" s="109"/>
      <c r="BS108" s="109"/>
      <c r="BT108" s="109"/>
      <c r="BU108" s="109"/>
      <c r="BV108" s="186"/>
      <c r="BW108" s="186"/>
      <c r="BX108" s="186"/>
      <c r="BY108" s="186"/>
      <c r="BZ108" s="186"/>
      <c r="CA108" s="186"/>
      <c r="CB108" s="186"/>
      <c r="CC108" s="186"/>
      <c r="CD108" s="186"/>
      <c r="CE108" s="186"/>
      <c r="CF108" s="186"/>
      <c r="CG108" s="186"/>
      <c r="CH108" s="186"/>
      <c r="CI108" s="186"/>
    </row>
    <row r="109" spans="2:141" ht="20" hidden="1" x14ac:dyDescent="0.3">
      <c r="B109" s="48"/>
      <c r="C109" s="302"/>
      <c r="D109" s="300"/>
      <c r="E109" s="48"/>
      <c r="G109" s="927"/>
      <c r="H109" s="43"/>
      <c r="I109" s="43"/>
      <c r="J109" s="43"/>
      <c r="K109" s="43"/>
      <c r="L109" s="43"/>
      <c r="M109" s="43"/>
      <c r="N109" s="43"/>
      <c r="O109" s="935"/>
      <c r="U109" s="97"/>
      <c r="AB109" s="97"/>
      <c r="AC109" s="97"/>
      <c r="AD109" s="97"/>
      <c r="AE109" s="97"/>
      <c r="BM109" s="197"/>
      <c r="BN109" s="197"/>
      <c r="BO109" s="197"/>
      <c r="BP109" s="109"/>
      <c r="BQ109" s="109"/>
      <c r="BR109" s="109"/>
      <c r="BS109" s="109"/>
      <c r="BT109" s="109"/>
      <c r="BU109" s="109"/>
      <c r="BV109" s="186"/>
      <c r="BW109" s="186"/>
      <c r="BX109" s="186"/>
      <c r="BY109" s="186"/>
      <c r="BZ109" s="186"/>
      <c r="CA109" s="186"/>
      <c r="CB109" s="186"/>
      <c r="CC109" s="186"/>
      <c r="CD109" s="186"/>
      <c r="CE109" s="186"/>
      <c r="CF109" s="186"/>
      <c r="CG109" s="186"/>
      <c r="CH109" s="186"/>
      <c r="CI109" s="186"/>
    </row>
    <row r="110" spans="2:141" ht="20" hidden="1" x14ac:dyDescent="0.3">
      <c r="B110" s="302"/>
      <c r="C110" s="302"/>
      <c r="D110" s="300"/>
      <c r="E110" s="300"/>
      <c r="F110" s="300"/>
      <c r="G110" s="927"/>
      <c r="H110" s="43"/>
      <c r="I110" s="43"/>
      <c r="J110" s="43"/>
      <c r="K110" s="43"/>
      <c r="L110" s="43"/>
      <c r="M110" s="43"/>
      <c r="N110" s="43"/>
      <c r="O110" s="935"/>
      <c r="U110" s="97"/>
      <c r="AB110" s="97"/>
      <c r="AC110" s="97"/>
      <c r="AD110" s="97"/>
      <c r="AE110" s="97"/>
      <c r="BM110" s="197"/>
      <c r="BN110" s="197"/>
      <c r="BO110" s="197"/>
      <c r="BP110" s="109"/>
      <c r="BQ110" s="109"/>
      <c r="BR110" s="109"/>
      <c r="BS110" s="109"/>
      <c r="BT110" s="109"/>
      <c r="BU110" s="109"/>
      <c r="BV110" s="186"/>
      <c r="BW110" s="186"/>
      <c r="BX110" s="186"/>
      <c r="BY110" s="186"/>
      <c r="BZ110" s="186"/>
      <c r="CA110" s="186"/>
      <c r="CB110" s="186"/>
      <c r="CC110" s="186"/>
      <c r="CD110" s="186"/>
      <c r="CE110" s="186"/>
      <c r="CF110" s="186"/>
      <c r="CG110" s="186"/>
      <c r="CH110" s="186"/>
      <c r="CI110" s="186"/>
    </row>
    <row r="111" spans="2:141" ht="20" hidden="1" x14ac:dyDescent="0.3">
      <c r="B111" s="12"/>
      <c r="C111" s="302"/>
      <c r="E111" s="12"/>
      <c r="G111" s="927"/>
      <c r="H111" s="43"/>
      <c r="I111" s="43"/>
      <c r="J111" s="43"/>
      <c r="K111" s="43"/>
      <c r="L111" s="43"/>
      <c r="M111" s="43"/>
      <c r="N111" s="43"/>
      <c r="O111" s="935"/>
      <c r="U111" s="97"/>
      <c r="AB111" s="97"/>
      <c r="AC111" s="97"/>
      <c r="AD111" s="97"/>
      <c r="AE111" s="97"/>
      <c r="BE111" s="97"/>
      <c r="BF111" s="97"/>
      <c r="BG111" s="97"/>
      <c r="BH111" s="97"/>
      <c r="BM111" s="197"/>
      <c r="BN111" s="197"/>
      <c r="BO111" s="197"/>
      <c r="BP111" s="109"/>
      <c r="BQ111" s="109"/>
      <c r="BR111" s="109"/>
      <c r="BS111" s="109"/>
      <c r="BT111" s="109"/>
      <c r="BU111" s="109"/>
      <c r="BV111" s="186"/>
      <c r="BW111" s="186"/>
      <c r="BX111" s="186"/>
      <c r="BY111" s="186"/>
      <c r="BZ111" s="186"/>
      <c r="CA111" s="186"/>
      <c r="CB111" s="186"/>
      <c r="CC111" s="186"/>
      <c r="CD111" s="186"/>
      <c r="CE111" s="186"/>
      <c r="CF111" s="186"/>
      <c r="CG111" s="186"/>
      <c r="CH111" s="186"/>
      <c r="CI111" s="186"/>
    </row>
    <row r="112" spans="2:141" ht="30" hidden="1" x14ac:dyDescent="0.3">
      <c r="B112" s="51"/>
      <c r="C112" s="302"/>
      <c r="E112" s="52"/>
      <c r="G112" s="927"/>
      <c r="H112" s="43"/>
      <c r="I112" s="43"/>
      <c r="J112" s="43"/>
      <c r="K112" s="43"/>
      <c r="L112" s="43"/>
      <c r="M112" s="43"/>
      <c r="N112" s="43"/>
      <c r="O112" s="935"/>
      <c r="U112" s="97"/>
      <c r="AB112" s="97"/>
      <c r="AC112" s="97"/>
      <c r="AD112" s="97"/>
      <c r="AE112" s="97"/>
      <c r="BE112" s="97"/>
      <c r="BF112" s="97"/>
      <c r="BG112" s="97"/>
      <c r="BH112" s="97"/>
      <c r="BM112" s="197"/>
      <c r="BN112" s="197"/>
      <c r="BO112" s="197"/>
      <c r="CI112" s="217"/>
      <c r="CJ112" s="217"/>
      <c r="CK112" s="217"/>
      <c r="CL112" s="217"/>
      <c r="CM112" s="217"/>
      <c r="CN112" s="217"/>
    </row>
    <row r="113" spans="2:128" ht="20" hidden="1" x14ac:dyDescent="0.3">
      <c r="B113" s="302"/>
      <c r="C113" s="302"/>
      <c r="D113" s="300"/>
      <c r="E113" s="300"/>
      <c r="F113" s="300"/>
      <c r="G113" s="927"/>
      <c r="H113" s="43"/>
      <c r="I113" s="43"/>
      <c r="J113" s="43"/>
      <c r="K113" s="43"/>
      <c r="L113" s="43"/>
      <c r="M113" s="43"/>
      <c r="N113" s="43"/>
      <c r="O113" s="935"/>
      <c r="U113" s="97"/>
      <c r="AB113" s="97"/>
      <c r="AC113" s="97"/>
      <c r="AD113" s="97"/>
      <c r="AE113" s="97"/>
      <c r="BE113" s="97"/>
      <c r="BF113" s="97"/>
      <c r="BG113" s="97"/>
      <c r="BH113" s="97"/>
      <c r="BM113" s="197"/>
      <c r="BN113" s="197"/>
      <c r="BO113" s="197"/>
    </row>
    <row r="114" spans="2:128" ht="20" hidden="1" x14ac:dyDescent="0.3">
      <c r="B114" s="302"/>
      <c r="C114" s="302"/>
      <c r="D114" s="300"/>
      <c r="E114" s="300"/>
      <c r="F114" s="300"/>
      <c r="G114" s="927"/>
      <c r="H114" s="43"/>
      <c r="I114" s="43"/>
      <c r="J114" s="43"/>
      <c r="K114" s="43"/>
      <c r="L114" s="43"/>
      <c r="M114" s="43"/>
      <c r="N114" s="43"/>
      <c r="O114" s="935"/>
      <c r="U114" s="97"/>
      <c r="AB114" s="97"/>
      <c r="AC114" s="97"/>
      <c r="AD114" s="97"/>
      <c r="AE114" s="97"/>
      <c r="BM114" s="197"/>
      <c r="BN114" s="197"/>
      <c r="BO114" s="197"/>
    </row>
    <row r="115" spans="2:128" ht="20" hidden="1" x14ac:dyDescent="0.3">
      <c r="B115" s="302"/>
      <c r="C115" s="302"/>
      <c r="D115" s="300"/>
      <c r="E115" s="300"/>
      <c r="F115" s="300"/>
      <c r="G115" s="927"/>
      <c r="H115" s="43"/>
      <c r="I115" s="43"/>
      <c r="J115" s="43"/>
      <c r="K115" s="43"/>
      <c r="L115" s="43"/>
      <c r="M115" s="43"/>
      <c r="N115" s="43"/>
      <c r="O115" s="935"/>
      <c r="U115" s="97"/>
      <c r="AB115" s="97"/>
      <c r="AC115" s="97"/>
      <c r="AD115" s="97"/>
      <c r="AE115" s="97"/>
      <c r="BE115" s="109"/>
      <c r="BF115" s="109"/>
      <c r="BG115" s="109"/>
      <c r="BH115" s="109"/>
      <c r="BM115" s="197"/>
      <c r="BN115" s="197"/>
      <c r="BO115" s="197"/>
    </row>
    <row r="116" spans="2:128" ht="20" hidden="1" x14ac:dyDescent="0.3">
      <c r="B116" s="302"/>
      <c r="C116" s="302"/>
      <c r="D116" s="300"/>
      <c r="E116" s="300"/>
      <c r="F116" s="300"/>
      <c r="G116" s="927"/>
      <c r="H116" s="43"/>
      <c r="I116" s="43"/>
      <c r="J116" s="43"/>
      <c r="K116" s="43"/>
      <c r="L116" s="43"/>
      <c r="M116" s="43"/>
      <c r="N116" s="43"/>
      <c r="O116" s="935"/>
      <c r="U116" s="97"/>
      <c r="AB116" s="97"/>
      <c r="AC116" s="97"/>
      <c r="AD116" s="97"/>
      <c r="AE116" s="97"/>
      <c r="BE116" s="109"/>
      <c r="BF116" s="109"/>
      <c r="BG116" s="109"/>
      <c r="BH116" s="109"/>
      <c r="BM116" s="197"/>
      <c r="BN116" s="197"/>
      <c r="BO116" s="197"/>
    </row>
    <row r="117" spans="2:128" ht="20" hidden="1" x14ac:dyDescent="0.3">
      <c r="B117" s="302"/>
      <c r="C117" s="302"/>
      <c r="D117" s="300"/>
      <c r="E117" s="300"/>
      <c r="F117" s="300"/>
      <c r="G117" s="927"/>
      <c r="H117" s="43"/>
      <c r="I117" s="43"/>
      <c r="J117" s="43"/>
      <c r="K117" s="43"/>
      <c r="L117" s="43"/>
      <c r="M117" s="43"/>
      <c r="N117" s="43"/>
      <c r="O117" s="935"/>
      <c r="U117" s="97"/>
      <c r="AB117" s="97"/>
      <c r="AC117" s="97"/>
      <c r="AD117" s="97"/>
      <c r="AE117" s="97"/>
      <c r="BE117" s="109"/>
      <c r="BF117" s="109"/>
      <c r="BG117" s="109"/>
      <c r="BH117" s="109"/>
      <c r="BM117" s="197"/>
      <c r="BN117" s="197"/>
      <c r="BO117" s="197"/>
    </row>
    <row r="118" spans="2:128" ht="20" hidden="1" x14ac:dyDescent="0.3">
      <c r="B118" s="302"/>
      <c r="C118" s="302"/>
      <c r="D118" s="300"/>
      <c r="E118" s="300"/>
      <c r="F118" s="300"/>
      <c r="G118" s="927"/>
      <c r="H118" s="43"/>
      <c r="I118" s="43"/>
      <c r="J118" s="43"/>
      <c r="K118" s="43"/>
      <c r="L118" s="43"/>
      <c r="M118" s="43"/>
      <c r="N118" s="43"/>
      <c r="O118" s="935"/>
      <c r="U118" s="97"/>
      <c r="AB118" s="97"/>
      <c r="AC118" s="97"/>
      <c r="AD118" s="97"/>
      <c r="AE118" s="97"/>
      <c r="BE118" s="109"/>
      <c r="BF118" s="109"/>
      <c r="BG118" s="109"/>
      <c r="BH118" s="109"/>
      <c r="BM118" s="197"/>
      <c r="BN118" s="197"/>
      <c r="BO118" s="197"/>
    </row>
    <row r="119" spans="2:128" ht="20" hidden="1" x14ac:dyDescent="0.3">
      <c r="B119" s="302"/>
      <c r="C119" s="302"/>
      <c r="D119" s="300"/>
      <c r="E119" s="300"/>
      <c r="F119" s="300"/>
      <c r="G119" s="927"/>
      <c r="H119" s="43"/>
      <c r="I119" s="43"/>
      <c r="J119" s="43"/>
      <c r="K119" s="43"/>
      <c r="L119" s="43"/>
      <c r="M119" s="43"/>
      <c r="N119" s="43"/>
      <c r="O119" s="935"/>
      <c r="U119" s="97"/>
      <c r="AB119" s="97"/>
      <c r="AC119" s="97"/>
      <c r="AD119" s="97"/>
      <c r="AE119" s="97"/>
      <c r="BE119" s="109"/>
      <c r="BF119" s="109"/>
      <c r="BG119" s="109"/>
      <c r="BH119" s="109"/>
      <c r="BM119" s="197"/>
      <c r="BN119" s="197"/>
      <c r="BO119" s="197"/>
      <c r="DE119" s="109"/>
      <c r="DF119" s="109"/>
      <c r="DG119" s="109"/>
      <c r="DH119" s="109"/>
      <c r="DI119" s="109"/>
      <c r="DJ119" s="109"/>
      <c r="DK119" s="186"/>
      <c r="DL119" s="186"/>
      <c r="DM119" s="186"/>
      <c r="DN119" s="186"/>
      <c r="DO119" s="186"/>
      <c r="DP119" s="186"/>
      <c r="DQ119" s="186"/>
      <c r="DR119" s="186"/>
      <c r="DS119" s="186"/>
      <c r="DT119" s="186"/>
      <c r="DU119" s="186"/>
      <c r="DV119" s="186"/>
      <c r="DW119" s="186"/>
      <c r="DX119" s="186"/>
    </row>
    <row r="120" spans="2:128" ht="20" hidden="1" x14ac:dyDescent="0.3">
      <c r="B120" s="302"/>
      <c r="C120" s="302"/>
      <c r="D120" s="300"/>
      <c r="E120" s="300"/>
      <c r="F120" s="300"/>
      <c r="G120" s="927"/>
      <c r="H120" s="43"/>
      <c r="I120" s="43"/>
      <c r="J120" s="43"/>
      <c r="K120" s="43"/>
      <c r="L120" s="43"/>
      <c r="M120" s="43"/>
      <c r="N120" s="43"/>
      <c r="O120" s="935"/>
      <c r="U120" s="97"/>
      <c r="AB120" s="97"/>
      <c r="AC120" s="97"/>
      <c r="AD120" s="97"/>
      <c r="AE120" s="97"/>
      <c r="BE120" s="119"/>
      <c r="BF120" s="119"/>
      <c r="BG120" s="119"/>
      <c r="BH120" s="119"/>
      <c r="BM120" s="197"/>
      <c r="BN120" s="197"/>
      <c r="BO120" s="197"/>
      <c r="DE120" s="109"/>
      <c r="DF120" s="109"/>
      <c r="DG120" s="109"/>
      <c r="DH120" s="109"/>
      <c r="DI120" s="109"/>
      <c r="DJ120" s="109"/>
      <c r="DK120" s="186"/>
      <c r="DL120" s="186"/>
      <c r="DM120" s="186"/>
      <c r="DN120" s="186"/>
      <c r="DO120" s="186"/>
      <c r="DP120" s="186"/>
      <c r="DQ120" s="186"/>
      <c r="DR120" s="186"/>
      <c r="DS120" s="186"/>
      <c r="DT120" s="186"/>
      <c r="DU120" s="186"/>
      <c r="DV120" s="186"/>
      <c r="DW120" s="186"/>
      <c r="DX120" s="186"/>
    </row>
    <row r="121" spans="2:128" ht="20" hidden="1" x14ac:dyDescent="0.3">
      <c r="B121" s="302"/>
      <c r="C121" s="302"/>
      <c r="D121" s="300"/>
      <c r="E121" s="300"/>
      <c r="F121" s="300"/>
      <c r="G121" s="927"/>
      <c r="H121" s="43"/>
      <c r="I121" s="43"/>
      <c r="J121" s="43"/>
      <c r="K121" s="43"/>
      <c r="L121" s="43"/>
      <c r="M121" s="43"/>
      <c r="N121" s="43"/>
      <c r="O121" s="935"/>
      <c r="U121" s="97"/>
      <c r="AB121" s="97"/>
      <c r="AC121" s="97"/>
      <c r="AD121" s="97"/>
      <c r="AE121" s="97"/>
      <c r="BE121" s="119"/>
      <c r="BF121" s="119"/>
      <c r="BG121" s="119"/>
      <c r="BH121" s="119"/>
      <c r="BM121" s="197"/>
      <c r="BN121" s="197"/>
      <c r="BO121" s="197"/>
      <c r="DE121" s="109"/>
      <c r="DF121" s="109"/>
      <c r="DG121" s="109"/>
      <c r="DH121" s="109"/>
      <c r="DI121" s="109"/>
      <c r="DJ121" s="109"/>
      <c r="DK121" s="186"/>
      <c r="DL121" s="186"/>
      <c r="DM121" s="186"/>
      <c r="DN121" s="186"/>
      <c r="DO121" s="186"/>
      <c r="DP121" s="186"/>
      <c r="DQ121" s="186"/>
      <c r="DR121" s="186"/>
      <c r="DS121" s="186"/>
      <c r="DT121" s="186"/>
      <c r="DU121" s="186"/>
      <c r="DV121" s="186"/>
      <c r="DW121" s="186"/>
      <c r="DX121" s="186"/>
    </row>
    <row r="122" spans="2:128" ht="20" hidden="1" x14ac:dyDescent="0.3">
      <c r="B122" s="302"/>
      <c r="C122" s="302"/>
      <c r="D122" s="300"/>
      <c r="E122" s="300"/>
      <c r="F122" s="300"/>
      <c r="G122" s="927"/>
      <c r="H122" s="43"/>
      <c r="I122" s="43"/>
      <c r="J122" s="43"/>
      <c r="K122" s="43"/>
      <c r="L122" s="43"/>
      <c r="M122" s="43"/>
      <c r="N122" s="43"/>
      <c r="O122" s="935"/>
      <c r="U122" s="97"/>
      <c r="AB122" s="97"/>
      <c r="AC122" s="97"/>
      <c r="AD122" s="97"/>
      <c r="AE122" s="97"/>
      <c r="BE122" s="119"/>
      <c r="BF122" s="119"/>
      <c r="BG122" s="119"/>
      <c r="BH122" s="119"/>
      <c r="BM122" s="197"/>
      <c r="BN122" s="197"/>
      <c r="BO122" s="197"/>
      <c r="DE122" s="109"/>
      <c r="DF122" s="109"/>
      <c r="DG122" s="109"/>
      <c r="DH122" s="109"/>
      <c r="DI122" s="109"/>
      <c r="DJ122" s="109"/>
      <c r="DK122" s="186"/>
      <c r="DL122" s="186"/>
      <c r="DM122" s="186"/>
      <c r="DN122" s="186"/>
      <c r="DO122" s="186"/>
      <c r="DP122" s="186"/>
      <c r="DQ122" s="186"/>
      <c r="DR122" s="186"/>
      <c r="DS122" s="186"/>
      <c r="DT122" s="186"/>
      <c r="DU122" s="186"/>
      <c r="DV122" s="186"/>
      <c r="DW122" s="186"/>
      <c r="DX122" s="186"/>
    </row>
    <row r="123" spans="2:128" ht="20" hidden="1" x14ac:dyDescent="0.3">
      <c r="B123" s="302"/>
      <c r="C123" s="302"/>
      <c r="D123" s="300"/>
      <c r="E123" s="300"/>
      <c r="F123" s="300"/>
      <c r="G123" s="927"/>
      <c r="H123" s="43"/>
      <c r="I123" s="43"/>
      <c r="J123" s="43"/>
      <c r="K123" s="43"/>
      <c r="L123" s="43"/>
      <c r="M123" s="43"/>
      <c r="N123" s="43"/>
      <c r="O123" s="935"/>
      <c r="U123" s="97"/>
      <c r="AB123" s="97"/>
      <c r="AC123" s="97"/>
      <c r="AD123" s="97"/>
      <c r="AE123" s="97"/>
      <c r="BE123" s="119"/>
      <c r="BF123" s="119"/>
      <c r="BG123" s="119"/>
      <c r="BH123" s="119"/>
      <c r="BM123" s="197"/>
      <c r="BN123" s="197"/>
      <c r="BO123" s="197"/>
    </row>
    <row r="124" spans="2:128" ht="149" hidden="1" x14ac:dyDescent="0.3">
      <c r="B124" s="302"/>
      <c r="C124" s="302"/>
      <c r="D124" s="300"/>
      <c r="E124" s="300"/>
      <c r="F124" s="300"/>
      <c r="G124" s="927"/>
      <c r="H124" s="43"/>
      <c r="I124" s="808" t="s">
        <v>192</v>
      </c>
      <c r="J124" s="808" t="s">
        <v>191</v>
      </c>
      <c r="K124" s="774" t="s">
        <v>193</v>
      </c>
      <c r="L124" s="775" t="s">
        <v>194</v>
      </c>
      <c r="M124" s="784" t="s">
        <v>198</v>
      </c>
      <c r="N124" s="43"/>
      <c r="O124" s="935"/>
      <c r="U124" s="97"/>
      <c r="AB124" s="97"/>
      <c r="AC124" s="97"/>
      <c r="AD124" s="97"/>
      <c r="AE124" s="97"/>
      <c r="BE124" s="119"/>
      <c r="BF124" s="119"/>
      <c r="BG124" s="119"/>
      <c r="BH124" s="119"/>
      <c r="BM124" s="197"/>
      <c r="BN124" s="197"/>
      <c r="BO124" s="197"/>
    </row>
    <row r="125" spans="2:128" ht="107" hidden="1" x14ac:dyDescent="0.3">
      <c r="C125" s="302"/>
      <c r="G125" s="927"/>
      <c r="H125" s="43"/>
      <c r="I125" s="768" t="s">
        <v>185</v>
      </c>
      <c r="J125" s="773" t="s">
        <v>184</v>
      </c>
      <c r="K125" s="772" t="s">
        <v>112</v>
      </c>
      <c r="L125" s="776" t="s">
        <v>112</v>
      </c>
      <c r="M125" s="785" t="s">
        <v>112</v>
      </c>
      <c r="N125" s="43"/>
      <c r="O125" s="935"/>
      <c r="U125" s="97"/>
      <c r="AB125" s="97"/>
      <c r="AC125" s="97"/>
      <c r="AD125" s="97"/>
      <c r="AE125" s="97"/>
      <c r="BE125" s="119"/>
      <c r="BF125" s="119"/>
      <c r="BG125" s="119"/>
      <c r="BH125" s="119"/>
      <c r="BM125" s="197"/>
      <c r="BN125" s="197"/>
      <c r="BO125" s="197"/>
    </row>
    <row r="126" spans="2:128" ht="66" hidden="1" customHeight="1" x14ac:dyDescent="0.3">
      <c r="B126" s="1118"/>
      <c r="C126" s="1118"/>
      <c r="D126" s="1118"/>
      <c r="E126" s="1118"/>
      <c r="G126" s="927"/>
      <c r="H126" s="950" t="s">
        <v>205</v>
      </c>
      <c r="I126" s="780">
        <f>+MIN(K31:L32)</f>
        <v>57.977144856504978</v>
      </c>
      <c r="J126" s="778">
        <f>+MIN(J37:K38)</f>
        <v>87.28859792689579</v>
      </c>
      <c r="K126" s="777">
        <f>+MIN(J43:L44)</f>
        <v>87.28859792689579</v>
      </c>
      <c r="L126" s="779">
        <f>+MIN(J49:L50)</f>
        <v>37.769104872214527</v>
      </c>
      <c r="M126" s="786">
        <f>+MIN(J55:L56)</f>
        <v>87.28859792689579</v>
      </c>
      <c r="N126" s="43"/>
      <c r="O126" s="935"/>
      <c r="U126" s="97"/>
      <c r="AB126" s="97"/>
      <c r="AC126" s="97"/>
      <c r="AD126" s="97"/>
      <c r="AE126" s="97"/>
      <c r="BE126" s="119"/>
      <c r="BF126" s="119"/>
      <c r="BG126" s="119"/>
      <c r="BH126" s="119"/>
      <c r="BM126" s="197"/>
      <c r="BN126" s="197"/>
      <c r="BO126" s="197"/>
    </row>
    <row r="127" spans="2:128" ht="20" hidden="1" x14ac:dyDescent="0.3">
      <c r="B127" s="278"/>
      <c r="C127" s="306"/>
      <c r="D127" s="278"/>
      <c r="E127" s="278"/>
      <c r="F127" s="300"/>
      <c r="G127" s="937"/>
      <c r="H127" s="109"/>
      <c r="I127" s="109"/>
      <c r="J127" s="109"/>
      <c r="K127" s="109"/>
      <c r="L127" s="109"/>
      <c r="M127" s="109"/>
      <c r="N127" s="109"/>
      <c r="O127" s="938"/>
      <c r="U127" s="97"/>
      <c r="AB127" s="97"/>
      <c r="AC127" s="97"/>
      <c r="AD127" s="97"/>
      <c r="AE127" s="97"/>
      <c r="BE127" s="119"/>
      <c r="BF127" s="119"/>
      <c r="BG127" s="119"/>
      <c r="BH127" s="119"/>
      <c r="BM127" s="197"/>
      <c r="BN127" s="197"/>
      <c r="BO127" s="197"/>
    </row>
    <row r="128" spans="2:128" ht="30" hidden="1" x14ac:dyDescent="0.3">
      <c r="B128" s="307"/>
      <c r="C128" s="306"/>
      <c r="D128" s="308"/>
      <c r="E128" s="280"/>
      <c r="F128" s="300"/>
      <c r="G128" s="927"/>
      <c r="H128" s="184"/>
      <c r="I128" s="184"/>
      <c r="J128" s="184"/>
      <c r="K128" s="184"/>
      <c r="L128" s="184"/>
      <c r="M128" s="184"/>
      <c r="N128" s="184"/>
      <c r="O128" s="812"/>
      <c r="U128" s="97"/>
      <c r="AB128" s="97"/>
      <c r="AC128" s="97"/>
      <c r="AD128" s="97"/>
      <c r="AE128" s="97"/>
      <c r="BE128" s="119"/>
      <c r="BF128" s="119"/>
      <c r="BG128" s="119"/>
      <c r="BH128" s="119"/>
      <c r="BM128" s="197"/>
      <c r="BN128" s="197"/>
      <c r="BO128" s="197"/>
    </row>
    <row r="129" spans="2:67" ht="20" hidden="1" x14ac:dyDescent="0.3">
      <c r="B129" s="306"/>
      <c r="C129" s="306"/>
      <c r="D129" s="69"/>
      <c r="E129" s="69"/>
      <c r="F129" s="300"/>
      <c r="G129" s="927"/>
      <c r="H129" s="43"/>
      <c r="I129" s="43"/>
      <c r="J129" s="43"/>
      <c r="K129" s="43"/>
      <c r="L129" s="43"/>
      <c r="M129" s="43"/>
      <c r="N129" s="43"/>
      <c r="O129" s="935"/>
      <c r="U129" s="97"/>
      <c r="AB129" s="97"/>
      <c r="AC129" s="97"/>
      <c r="AD129" s="97"/>
      <c r="AE129" s="97"/>
      <c r="BE129" s="119"/>
      <c r="BF129" s="119"/>
      <c r="BG129" s="119"/>
      <c r="BH129" s="119"/>
      <c r="BM129" s="197"/>
      <c r="BN129" s="197"/>
      <c r="BO129" s="197"/>
    </row>
    <row r="130" spans="2:67" ht="20" hidden="1" x14ac:dyDescent="0.3">
      <c r="B130" s="278"/>
      <c r="C130" s="306"/>
      <c r="D130" s="278"/>
      <c r="E130" s="13"/>
      <c r="F130" s="300"/>
      <c r="G130" s="927"/>
      <c r="H130" s="43"/>
      <c r="I130" s="43"/>
      <c r="J130" s="43"/>
      <c r="K130" s="43"/>
      <c r="L130" s="43"/>
      <c r="M130" s="43"/>
      <c r="N130" s="43"/>
      <c r="O130" s="935"/>
      <c r="U130" s="97"/>
      <c r="AB130" s="97"/>
      <c r="AC130" s="97"/>
      <c r="AD130" s="97"/>
      <c r="AE130" s="97"/>
      <c r="BE130" s="119"/>
      <c r="BF130" s="119"/>
      <c r="BG130" s="119"/>
      <c r="BH130" s="119"/>
      <c r="BM130" s="197"/>
      <c r="BN130" s="197"/>
      <c r="BO130" s="197"/>
    </row>
    <row r="131" spans="2:67" ht="24" hidden="1" x14ac:dyDescent="0.3">
      <c r="B131" s="302"/>
      <c r="C131" s="302"/>
      <c r="F131" s="300"/>
      <c r="G131" s="813"/>
      <c r="H131" s="192"/>
      <c r="I131" s="836">
        <f>COUNTIF(CK97:DA97,"&gt;0")</f>
        <v>1</v>
      </c>
      <c r="J131" s="836">
        <f>COUNTIF(BQ97:CG97,"&gt;0")</f>
        <v>1</v>
      </c>
      <c r="K131" s="836" t="b">
        <f>AND(IF(SUM(BQ101:CA101)&gt;0,1,0),IF(CP101="6  ADS ",1,0))</f>
        <v>1</v>
      </c>
      <c r="L131" s="836" t="b">
        <f>AND(IF(SUM(CQ101:DA101)&gt;0,1,0),IF(CB101="6  ADS ",1,0))</f>
        <v>0</v>
      </c>
      <c r="M131" s="836" t="b">
        <f>AND(IF(CP101="6  ADS ",1,0),IF(CB101="6  ADS ",1,0))</f>
        <v>0</v>
      </c>
      <c r="N131" s="192"/>
      <c r="O131" s="814"/>
      <c r="U131" s="97"/>
      <c r="AB131" s="97"/>
      <c r="AC131" s="97"/>
      <c r="AD131" s="97"/>
      <c r="AE131" s="97"/>
      <c r="BF131" s="119"/>
      <c r="BG131" s="119"/>
      <c r="BH131" s="119"/>
      <c r="BM131" s="197"/>
      <c r="BN131" s="197"/>
      <c r="BO131" s="197"/>
    </row>
    <row r="132" spans="2:67" ht="25" hidden="1" thickBot="1" x14ac:dyDescent="0.35">
      <c r="B132" s="302"/>
      <c r="C132" s="302"/>
      <c r="G132" s="815"/>
      <c r="H132" s="816"/>
      <c r="I132" s="837">
        <f>IF(I131=2,I126,0)</f>
        <v>0</v>
      </c>
      <c r="J132" s="837">
        <f>IF(J131=2,J126,0)</f>
        <v>0</v>
      </c>
      <c r="K132" s="837">
        <f t="shared" ref="K132:M132" si="4">IF(K131=TRUE,K126,0)</f>
        <v>87.28859792689579</v>
      </c>
      <c r="L132" s="837">
        <f t="shared" si="4"/>
        <v>0</v>
      </c>
      <c r="M132" s="837">
        <f t="shared" si="4"/>
        <v>0</v>
      </c>
      <c r="N132" s="816"/>
      <c r="O132" s="817"/>
      <c r="U132" s="97"/>
      <c r="AB132" s="97"/>
      <c r="AC132" s="97"/>
      <c r="AD132" s="97"/>
      <c r="AE132" s="97"/>
      <c r="BE132" s="119"/>
      <c r="BF132" s="119"/>
      <c r="BG132" s="119"/>
      <c r="BH132" s="119"/>
      <c r="BM132" s="197"/>
      <c r="BN132" s="197"/>
      <c r="BO132" s="197"/>
    </row>
    <row r="133" spans="2:67" ht="20" hidden="1" x14ac:dyDescent="0.3">
      <c r="B133" s="302"/>
      <c r="C133" s="302"/>
      <c r="G133" s="217"/>
      <c r="U133" s="97"/>
      <c r="AB133" s="97"/>
      <c r="AC133" s="97"/>
      <c r="AD133" s="97"/>
      <c r="AE133" s="97"/>
      <c r="BF133" s="119"/>
      <c r="BG133" s="119"/>
      <c r="BH133" s="119"/>
      <c r="BM133" s="197"/>
      <c r="BN133" s="197"/>
      <c r="BO133" s="197"/>
    </row>
    <row r="134" spans="2:67" ht="20" hidden="1" x14ac:dyDescent="0.3">
      <c r="C134" s="97"/>
      <c r="G134" s="217"/>
      <c r="U134" s="97"/>
      <c r="AB134" s="97"/>
      <c r="AC134" s="97"/>
      <c r="AD134" s="97"/>
      <c r="AE134" s="97"/>
      <c r="BF134" s="119"/>
      <c r="BG134" s="119"/>
      <c r="BH134" s="119"/>
      <c r="BM134" s="197"/>
      <c r="BN134" s="197"/>
      <c r="BO134" s="197"/>
    </row>
    <row r="135" spans="2:67" ht="20" hidden="1" x14ac:dyDescent="0.3">
      <c r="B135" s="309"/>
      <c r="C135" s="309"/>
      <c r="D135" s="310"/>
      <c r="E135" s="310"/>
      <c r="F135" s="310"/>
      <c r="G135" s="194"/>
      <c r="BE135" s="119"/>
      <c r="BF135" s="119"/>
      <c r="BG135" s="119"/>
      <c r="BH135" s="119"/>
      <c r="BM135" s="197"/>
      <c r="BN135" s="197"/>
      <c r="BO135" s="197"/>
    </row>
    <row r="136" spans="2:67" ht="20" hidden="1" x14ac:dyDescent="0.3">
      <c r="G136" s="43"/>
      <c r="BF136" s="119"/>
      <c r="BG136" s="119"/>
      <c r="BH136" s="119"/>
      <c r="BM136" s="197"/>
      <c r="BN136" s="197"/>
      <c r="BO136" s="197"/>
    </row>
    <row r="137" spans="2:67" ht="20" hidden="1" x14ac:dyDescent="0.3">
      <c r="B137"/>
      <c r="G137" s="43"/>
      <c r="BE137" s="119"/>
      <c r="BF137" s="119"/>
      <c r="BG137" s="119"/>
      <c r="BH137" s="119"/>
      <c r="BM137" s="197"/>
      <c r="BN137" s="197"/>
      <c r="BO137" s="197"/>
    </row>
    <row r="138" spans="2:67" ht="20" hidden="1" x14ac:dyDescent="0.3">
      <c r="B138" s="309"/>
      <c r="C138" s="309"/>
      <c r="D138" s="310"/>
      <c r="E138" s="310"/>
      <c r="F138" s="310"/>
      <c r="G138" s="194"/>
      <c r="BE138" s="119"/>
      <c r="BF138" s="119"/>
      <c r="BG138" s="119"/>
      <c r="BH138" s="119"/>
      <c r="BM138" s="197"/>
      <c r="BN138" s="197"/>
      <c r="BO138" s="197"/>
    </row>
    <row r="139" spans="2:67" ht="20" hidden="1" x14ac:dyDescent="0.3">
      <c r="B139" s="309"/>
      <c r="C139" s="309"/>
      <c r="D139" s="310"/>
      <c r="E139" s="310"/>
      <c r="F139" s="310"/>
      <c r="G139" s="194"/>
      <c r="BE139" s="119"/>
      <c r="BF139" s="119"/>
      <c r="BG139" s="119"/>
      <c r="BH139" s="119"/>
      <c r="BM139" s="197"/>
      <c r="BN139" s="197"/>
      <c r="BO139" s="197"/>
    </row>
    <row r="140" spans="2:67" ht="21" hidden="1" thickBot="1" x14ac:dyDescent="0.35">
      <c r="B140" s="309"/>
      <c r="C140" s="309"/>
      <c r="D140" s="310"/>
      <c r="E140" s="310"/>
      <c r="F140" s="310"/>
      <c r="G140" s="194"/>
      <c r="BE140" s="119"/>
      <c r="BF140" s="119"/>
      <c r="BG140" s="119"/>
      <c r="BH140" s="119"/>
      <c r="BM140" s="197"/>
      <c r="BN140" s="197"/>
      <c r="BO140" s="197"/>
    </row>
    <row r="141" spans="2:67" ht="52.5" customHeight="1" thickBot="1" x14ac:dyDescent="0.35">
      <c r="B141" s="311"/>
      <c r="D141" s="312" t="str">
        <f>IF(BL107&gt;0," ","change the angle of frame or of cabinets")</f>
        <v xml:space="preserve"> </v>
      </c>
      <c r="E141" s="191"/>
      <c r="F141" s="191"/>
      <c r="G141" s="191"/>
      <c r="BE141" s="119"/>
      <c r="BF141" s="119"/>
      <c r="BG141" s="119"/>
      <c r="BH141" s="119"/>
      <c r="BM141" s="197"/>
      <c r="BN141" s="197"/>
      <c r="BO141" s="197"/>
    </row>
    <row r="142" spans="2:67" ht="52.5" customHeight="1" thickBot="1" x14ac:dyDescent="0.35">
      <c r="B142" s="1113" t="s">
        <v>105</v>
      </c>
      <c r="D142" s="312" t="str">
        <f>IF(DD107&lt;0," ","change the angle of frame or of cabinets")</f>
        <v xml:space="preserve"> </v>
      </c>
      <c r="E142" s="191"/>
      <c r="F142" s="191"/>
      <c r="G142" s="191"/>
      <c r="V142" s="313"/>
      <c r="W142" s="313"/>
      <c r="X142" s="313"/>
      <c r="Y142" s="313"/>
      <c r="Z142" s="313"/>
      <c r="AA142" s="313"/>
      <c r="AF142" s="304"/>
      <c r="AG142" s="304"/>
      <c r="AH142" s="304"/>
      <c r="AI142" s="304"/>
      <c r="AJ142" s="304"/>
      <c r="AK142" s="304"/>
      <c r="AL142" s="304"/>
      <c r="AM142" s="304"/>
      <c r="AN142" s="304"/>
      <c r="AO142" s="304"/>
      <c r="AP142" s="304"/>
      <c r="AQ142" s="304"/>
      <c r="AR142" s="304"/>
      <c r="AS142" s="304"/>
      <c r="AT142" s="304"/>
      <c r="AU142" s="304"/>
      <c r="AV142" s="304"/>
      <c r="AW142" s="304"/>
      <c r="AX142" s="304"/>
      <c r="AY142" s="304"/>
      <c r="AZ142" s="304"/>
      <c r="BA142" s="304"/>
      <c r="BB142" s="126"/>
      <c r="BE142" s="119"/>
      <c r="BF142" s="119"/>
      <c r="BG142" s="119"/>
      <c r="BH142" s="119"/>
      <c r="BM142" s="197"/>
      <c r="BN142" s="197"/>
      <c r="BO142" s="197"/>
    </row>
    <row r="143" spans="2:67" ht="52.5" customHeight="1" thickBot="1" x14ac:dyDescent="0.35">
      <c r="B143" s="1114"/>
      <c r="C143" s="196"/>
      <c r="D143" s="312" t="str">
        <f>IF(BL107&gt;(+COS(($B$144*-1)*3.14159265358979/180)*451.5)," ","USE EXBAR AR AT THE FRONT")</f>
        <v xml:space="preserve"> </v>
      </c>
      <c r="E143" s="191"/>
      <c r="F143" s="191"/>
      <c r="G143" s="191"/>
      <c r="BE143" s="119"/>
      <c r="BF143" s="119"/>
      <c r="BG143" s="119"/>
      <c r="BH143" s="119"/>
      <c r="BM143" s="197"/>
      <c r="BN143" s="197"/>
      <c r="BO143" s="197"/>
    </row>
    <row r="144" spans="2:67" ht="52.5" customHeight="1" thickBot="1" x14ac:dyDescent="0.35">
      <c r="B144" s="2">
        <v>0</v>
      </c>
      <c r="C144" s="196"/>
      <c r="D144" s="282" t="str">
        <f>IF(DD107&lt;-(+COS(($B$144*-1)*3.14159265358979/180)*365.5)," ","USE EXBAR AR AT THE BACK")</f>
        <v xml:space="preserve"> </v>
      </c>
      <c r="E144" s="191"/>
      <c r="F144" s="191"/>
      <c r="G144" s="191"/>
      <c r="AK144" s="669" t="s">
        <v>128</v>
      </c>
      <c r="AL144" s="670"/>
      <c r="AM144" s="670"/>
      <c r="AN144" s="670"/>
      <c r="AO144" s="671" t="s">
        <v>141</v>
      </c>
      <c r="BE144" s="119"/>
      <c r="BF144" s="119"/>
      <c r="BG144" s="119"/>
      <c r="BH144" s="119"/>
      <c r="BM144" s="197"/>
      <c r="BN144" s="197"/>
      <c r="BO144" s="197"/>
    </row>
    <row r="145" spans="2:87" ht="20.25" customHeight="1" thickBot="1" x14ac:dyDescent="0.35">
      <c r="G145" s="43"/>
      <c r="AK145" s="672" t="s">
        <v>129</v>
      </c>
      <c r="AL145" s="669" t="s">
        <v>130</v>
      </c>
      <c r="AM145" s="669" t="s">
        <v>131</v>
      </c>
      <c r="AN145" s="673" t="s">
        <v>135</v>
      </c>
      <c r="AO145" s="957" t="s">
        <v>133</v>
      </c>
      <c r="BE145" s="119"/>
      <c r="BF145" s="119"/>
      <c r="BG145" s="119"/>
      <c r="BH145" s="119"/>
      <c r="BM145" s="197"/>
      <c r="BN145" s="197"/>
      <c r="BO145" s="197"/>
    </row>
    <row r="146" spans="2:87" ht="64" thickBot="1" x14ac:dyDescent="0.35">
      <c r="B146" s="314" t="s">
        <v>28</v>
      </c>
      <c r="C146" s="315"/>
      <c r="D146" s="26"/>
      <c r="E146" s="26"/>
      <c r="F146" s="26"/>
      <c r="G146" s="46"/>
      <c r="T146" s="170"/>
      <c r="AK146" s="672">
        <v>6.8623010000000004</v>
      </c>
      <c r="AL146" s="669">
        <f>+$B$144-AK146</f>
        <v>-6.8623010000000004</v>
      </c>
      <c r="AM146" s="674">
        <f>COS(AL146*3.14159265358979/180)</f>
        <v>0.99283617366519983</v>
      </c>
      <c r="AN146" s="675">
        <f>+AM146*378.71303</f>
        <v>375.99999562235405</v>
      </c>
      <c r="AO146" s="958">
        <f>+((AO150*(AQ150-31))+(AN146*31)+(AO170*31))/(AQ150+31)</f>
        <v>285.34048711979182</v>
      </c>
      <c r="AP146" s="1033" t="s">
        <v>299</v>
      </c>
      <c r="BE146" s="119"/>
      <c r="BF146" s="119"/>
      <c r="BG146" s="119"/>
      <c r="BH146" s="119"/>
    </row>
    <row r="147" spans="2:87" ht="40" thickBot="1" x14ac:dyDescent="0.3">
      <c r="B147" s="18">
        <v>1</v>
      </c>
      <c r="C147" s="199"/>
      <c r="D147" s="316" t="s">
        <v>59</v>
      </c>
      <c r="E147" s="277"/>
      <c r="F147" s="277"/>
      <c r="G147" s="277"/>
      <c r="H147" s="283" t="s">
        <v>76</v>
      </c>
      <c r="I147" s="283" t="s">
        <v>77</v>
      </c>
      <c r="J147" s="283" t="s">
        <v>78</v>
      </c>
      <c r="K147"/>
      <c r="L147"/>
      <c r="M147"/>
      <c r="N147"/>
      <c r="O147"/>
      <c r="P147" s="283" t="s">
        <v>79</v>
      </c>
      <c r="Q147" s="283" t="s">
        <v>80</v>
      </c>
      <c r="R147" s="277"/>
      <c r="S147" s="283" t="s">
        <v>81</v>
      </c>
      <c r="T147" s="317"/>
      <c r="W147" s="1117" t="s">
        <v>82</v>
      </c>
      <c r="X147" s="1117"/>
      <c r="Y147" s="1117"/>
      <c r="Z147" s="1117"/>
      <c r="AA147" s="1117"/>
      <c r="AY147" s="318"/>
      <c r="AZ147" s="1115" t="s">
        <v>46</v>
      </c>
      <c r="BA147" s="1116"/>
      <c r="BE147" s="119"/>
      <c r="BF147" s="119"/>
      <c r="BG147" s="119"/>
      <c r="BH147" s="119"/>
    </row>
    <row r="148" spans="2:87" ht="52" hidden="1" thickBot="1" x14ac:dyDescent="0.25">
      <c r="C148" s="319"/>
      <c r="D148" s="320" t="s">
        <v>13</v>
      </c>
      <c r="H148" s="288" t="s">
        <v>4</v>
      </c>
      <c r="I148" s="288" t="s">
        <v>1</v>
      </c>
      <c r="J148" s="292" t="s">
        <v>65</v>
      </c>
      <c r="K148" s="275" t="s">
        <v>2</v>
      </c>
      <c r="L148" s="275" t="s">
        <v>3</v>
      </c>
      <c r="M148" s="275" t="s">
        <v>8</v>
      </c>
      <c r="N148" s="275" t="s">
        <v>5</v>
      </c>
      <c r="O148" s="275" t="s">
        <v>6</v>
      </c>
      <c r="P148" s="275" t="s">
        <v>7</v>
      </c>
      <c r="Q148" s="275" t="s">
        <v>9</v>
      </c>
      <c r="R148" s="288" t="s">
        <v>10</v>
      </c>
      <c r="S148" s="275" t="s">
        <v>11</v>
      </c>
      <c r="T148" s="321" t="s">
        <v>12</v>
      </c>
      <c r="W148" s="288" t="s">
        <v>86</v>
      </c>
      <c r="X148" s="275" t="s">
        <v>83</v>
      </c>
      <c r="Y148" s="288" t="s">
        <v>87</v>
      </c>
      <c r="Z148" s="322" t="s">
        <v>84</v>
      </c>
      <c r="AA148" s="322" t="s">
        <v>85</v>
      </c>
      <c r="AC148" s="275" t="s">
        <v>88</v>
      </c>
      <c r="AD148" s="275"/>
      <c r="AE148" s="275"/>
      <c r="AF148" s="323"/>
      <c r="AG148" s="323"/>
      <c r="AH148" s="323"/>
      <c r="AI148" s="323"/>
      <c r="AJ148" s="323"/>
      <c r="AK148" s="323"/>
      <c r="AL148" s="323"/>
      <c r="AM148" s="323"/>
      <c r="AN148" s="323"/>
      <c r="AO148" s="323" t="s">
        <v>237</v>
      </c>
      <c r="AP148" s="960" t="s">
        <v>235</v>
      </c>
      <c r="AQ148" s="323" t="s">
        <v>237</v>
      </c>
      <c r="AR148" s="323"/>
      <c r="AS148" s="323"/>
      <c r="AT148" s="323" t="s">
        <v>237</v>
      </c>
      <c r="AU148" s="323"/>
      <c r="AV148" s="323"/>
      <c r="AW148" s="323"/>
      <c r="AX148" s="318"/>
      <c r="AY148" s="318"/>
      <c r="AZ148" s="323"/>
      <c r="BA148" s="323"/>
      <c r="BB148" s="212"/>
      <c r="BE148" s="119"/>
      <c r="BF148" s="119"/>
      <c r="BG148" s="119"/>
      <c r="BH148" s="119"/>
    </row>
    <row r="149" spans="2:87" ht="51" customHeight="1" thickBot="1" x14ac:dyDescent="0.25">
      <c r="B149" s="324"/>
      <c r="C149" s="325"/>
      <c r="D149" s="285" t="s">
        <v>20</v>
      </c>
      <c r="E149" s="277"/>
      <c r="F149" s="277"/>
      <c r="G149" s="221"/>
      <c r="H149" s="288"/>
      <c r="I149" s="288"/>
      <c r="J149" s="292"/>
      <c r="K149" s="275"/>
      <c r="L149" s="275"/>
      <c r="M149" s="275"/>
      <c r="N149" s="275"/>
      <c r="O149" s="275"/>
      <c r="P149" s="275"/>
      <c r="Q149" s="275"/>
      <c r="R149" s="288"/>
      <c r="S149" s="275"/>
      <c r="T149" s="321"/>
      <c r="V149" s="323"/>
      <c r="W149" s="323"/>
      <c r="X149" s="323"/>
      <c r="Y149" s="323"/>
      <c r="Z149" s="323"/>
      <c r="AA149" s="323"/>
      <c r="AB149" s="323"/>
      <c r="AC149" s="326">
        <f>SUM(AC150:AC161)</f>
        <v>343.49989132317432</v>
      </c>
      <c r="AD149" s="327"/>
      <c r="AE149" s="327"/>
      <c r="AF149" s="323" t="s">
        <v>36</v>
      </c>
      <c r="AG149" s="328" t="s">
        <v>29</v>
      </c>
      <c r="AH149" s="328"/>
      <c r="AI149" s="290" t="s">
        <v>61</v>
      </c>
      <c r="AJ149" s="329" t="s">
        <v>30</v>
      </c>
      <c r="AK149" s="290" t="s">
        <v>31</v>
      </c>
      <c r="AL149" s="291" t="s">
        <v>62</v>
      </c>
      <c r="AM149" s="330" t="s">
        <v>32</v>
      </c>
      <c r="AN149" s="290" t="s">
        <v>33</v>
      </c>
      <c r="AO149" s="331" t="s">
        <v>45</v>
      </c>
      <c r="AP149" s="290" t="s">
        <v>236</v>
      </c>
      <c r="AQ149" s="331" t="s">
        <v>238</v>
      </c>
      <c r="AR149" s="323" t="s">
        <v>44</v>
      </c>
      <c r="AS149" s="323" t="s">
        <v>37</v>
      </c>
      <c r="AT149" s="331" t="s">
        <v>245</v>
      </c>
      <c r="AU149" s="323" t="s">
        <v>246</v>
      </c>
      <c r="AV149" s="332" t="s">
        <v>39</v>
      </c>
      <c r="AW149" s="332" t="s">
        <v>40</v>
      </c>
      <c r="AX149" s="333" t="s">
        <v>21</v>
      </c>
      <c r="AY149" s="333" t="s">
        <v>22</v>
      </c>
      <c r="AZ149" s="334" t="s">
        <v>21</v>
      </c>
      <c r="BA149" s="334" t="s">
        <v>22</v>
      </c>
      <c r="BC149" s="243"/>
      <c r="BE149" s="119"/>
      <c r="BF149" s="119"/>
      <c r="BG149" s="119"/>
      <c r="BH149" s="119"/>
    </row>
    <row r="150" spans="2:87" ht="19" thickBot="1" x14ac:dyDescent="0.25">
      <c r="B150" s="232">
        <v>1</v>
      </c>
      <c r="C150" s="233">
        <f>+(B144*-1)+D150</f>
        <v>0</v>
      </c>
      <c r="D150" s="16">
        <v>0</v>
      </c>
      <c r="E150" s="335" t="s">
        <v>72</v>
      </c>
      <c r="F150" s="247"/>
      <c r="G150" s="247"/>
      <c r="H150" s="283">
        <v>421.92079999999999</v>
      </c>
      <c r="I150" s="283">
        <v>35.4982179</v>
      </c>
      <c r="J150" s="283">
        <f>+I150-C150</f>
        <v>35.4982179</v>
      </c>
      <c r="K150" s="247"/>
      <c r="L150" s="247"/>
      <c r="M150" s="247"/>
      <c r="N150" s="247"/>
      <c r="O150" s="247"/>
      <c r="P150" s="283">
        <f>COS(J150*3.14159265358979/180)</f>
        <v>0.81413357986421708</v>
      </c>
      <c r="Q150" s="283">
        <f>+P150*H150</f>
        <v>343.49989132317432</v>
      </c>
      <c r="R150" s="336">
        <v>343.5</v>
      </c>
      <c r="S150" s="283">
        <f>+Q150</f>
        <v>343.49989132317432</v>
      </c>
      <c r="T150" s="247">
        <f t="shared" ref="T150:T161" si="5">+S150</f>
        <v>343.49989132317432</v>
      </c>
      <c r="U150" s="247"/>
      <c r="V150" s="247">
        <f t="shared" ref="V150:V161" si="6">IF(B150&lt;($B$147+1),T150,0)</f>
        <v>343.49989132317432</v>
      </c>
      <c r="W150" s="336">
        <v>35.4982179</v>
      </c>
      <c r="X150" s="247">
        <f>+W150+AH164</f>
        <v>35.4982179</v>
      </c>
      <c r="Y150" s="247">
        <v>421.92079999999999</v>
      </c>
      <c r="Z150" s="337">
        <f>+COS(X150*3.14159265358979/180)*Y150</f>
        <v>343.49989132317432</v>
      </c>
      <c r="AA150" s="338">
        <f>+AC149-Z150</f>
        <v>0</v>
      </c>
      <c r="AB150" s="247"/>
      <c r="AC150" s="339">
        <f>IF(AD150=1,AF150)</f>
        <v>343.49989132317432</v>
      </c>
      <c r="AD150" s="339">
        <f t="shared" ref="AD150:AD161" si="7">MAX(AE$150:AE$161)</f>
        <v>1</v>
      </c>
      <c r="AE150" s="339">
        <f>IF(V150=0,0,1)</f>
        <v>1</v>
      </c>
      <c r="AF150" s="340">
        <f>SUM(V150:V161)/($B$147)</f>
        <v>343.49989132317432</v>
      </c>
      <c r="AG150" s="341">
        <f>+D150+C150</f>
        <v>0</v>
      </c>
      <c r="AH150" s="342">
        <f t="shared" ref="AH150:AH161" si="8">IF(B150&lt;($B$147+1),AG150)</f>
        <v>0</v>
      </c>
      <c r="AI150" s="343">
        <f>54.5017821+AG150</f>
        <v>54.5017821</v>
      </c>
      <c r="AJ150" s="344">
        <f>SIN(AI150*3.14159265358979/180)</f>
        <v>0.81413357986421619</v>
      </c>
      <c r="AK150" s="293">
        <f>+AJ150*421.92</f>
        <v>343.49924001631013</v>
      </c>
      <c r="AL150" s="343">
        <f>58.7344156-AG150</f>
        <v>58.734415599999998</v>
      </c>
      <c r="AM150" s="345">
        <f>SIN(AL150*3.14159265358979/180)</f>
        <v>0.85477073319485097</v>
      </c>
      <c r="AN150" s="293">
        <f>+AM150*472.06</f>
        <v>403.50307231196138</v>
      </c>
      <c r="AO150" s="346">
        <f t="shared" ref="AO150:AO161" si="9">+((AF150*AP150)+($AP$177*($AF$177+$AA$150)))/AQ150</f>
        <v>220.20851113880866</v>
      </c>
      <c r="AP150" s="959">
        <f>$C$10*B147</f>
        <v>57</v>
      </c>
      <c r="AQ150" s="346">
        <f t="shared" ref="AQ150:AQ161" si="10">+AP150+$AP$177+31</f>
        <v>117.3</v>
      </c>
      <c r="AR150" s="347">
        <f>+AN150+AK150</f>
        <v>747.0023123282715</v>
      </c>
      <c r="AS150" s="348">
        <f>+V150-AN150</f>
        <v>-60.003180988787051</v>
      </c>
      <c r="AT150" s="349">
        <f>+AO150-AS150</f>
        <v>280.21169212759571</v>
      </c>
      <c r="AU150" s="348">
        <f>+AF150-AS150</f>
        <v>403.50307231196138</v>
      </c>
      <c r="AV150" s="350">
        <f>+((AR150-AT150)/AR150)*AQ150</f>
        <v>73.299023103260879</v>
      </c>
      <c r="AW150" s="350">
        <f>+(AT150/AR150)*AQ150</f>
        <v>44.000976896739125</v>
      </c>
      <c r="AX150" s="351">
        <f t="shared" ref="AX150:AX161" si="11">2*$C$19/AV150</f>
        <v>158.25586084085131</v>
      </c>
      <c r="AY150" s="351">
        <f t="shared" ref="AY150:AY161" si="12">2*$D$19/AW150</f>
        <v>263.63051045940904</v>
      </c>
      <c r="AZ150" s="352">
        <f>ABS(AX150)</f>
        <v>158.25586084085131</v>
      </c>
      <c r="BA150" s="352">
        <f>ABS(AY150)</f>
        <v>263.63051045940904</v>
      </c>
      <c r="BB150" s="74"/>
      <c r="BC150" s="243"/>
      <c r="BE150" s="119"/>
      <c r="BF150" s="119"/>
      <c r="BG150" s="119"/>
      <c r="BH150" s="119"/>
    </row>
    <row r="151" spans="2:87" ht="19" thickBot="1" x14ac:dyDescent="0.25">
      <c r="B151" s="244">
        <v>2</v>
      </c>
      <c r="C151" s="245"/>
      <c r="D151" s="16">
        <v>0</v>
      </c>
      <c r="E151" s="234" t="s">
        <v>72</v>
      </c>
      <c r="F151" s="235"/>
      <c r="G151" s="235"/>
      <c r="H151" s="235">
        <v>472.06</v>
      </c>
      <c r="I151" s="235">
        <v>62.531168700000002</v>
      </c>
      <c r="J151" s="235">
        <f>+I151+D151</f>
        <v>62.531168700000002</v>
      </c>
      <c r="K151" s="235">
        <f t="shared" ref="K151:K161" si="13">+J151/2</f>
        <v>31.265584350000001</v>
      </c>
      <c r="L151" s="235">
        <f t="shared" ref="L151:L161" si="14">SIN(K151*3.14159265358979/180)</f>
        <v>0.51900577347391186</v>
      </c>
      <c r="M151" s="235">
        <f t="shared" ref="M151:M161" si="15">+L151*H151</f>
        <v>245.00186542609484</v>
      </c>
      <c r="N151" s="235">
        <f t="shared" ref="N151:N161" si="16">+M151*2</f>
        <v>490.00373085218968</v>
      </c>
      <c r="O151" s="235">
        <f>+C150+(D151/2)</f>
        <v>0</v>
      </c>
      <c r="P151" s="235">
        <f t="shared" ref="P151:P161" si="17">SIN(O151*3.14159265358979/180)</f>
        <v>0</v>
      </c>
      <c r="Q151" s="235">
        <f t="shared" ref="Q151:Q161" si="18">+P151*N151</f>
        <v>0</v>
      </c>
      <c r="R151" s="235">
        <f t="shared" ref="R151:R161" si="19">+T150</f>
        <v>343.49989132317432</v>
      </c>
      <c r="S151" s="235">
        <f>+R151+Q151</f>
        <v>343.49989132317432</v>
      </c>
      <c r="T151" s="235">
        <f t="shared" si="5"/>
        <v>343.49989132317432</v>
      </c>
      <c r="U151" s="235"/>
      <c r="V151" s="235">
        <f t="shared" si="6"/>
        <v>0</v>
      </c>
      <c r="W151" s="235"/>
      <c r="X151" s="235"/>
      <c r="Y151" s="235"/>
      <c r="Z151" s="235"/>
      <c r="AA151" s="235"/>
      <c r="AB151" s="235"/>
      <c r="AC151" s="339" t="b">
        <f>IF(AD151=2,AF151)</f>
        <v>0</v>
      </c>
      <c r="AD151" s="339">
        <f t="shared" si="7"/>
        <v>1</v>
      </c>
      <c r="AE151" s="339">
        <f>IF(V151=0,0,2)</f>
        <v>0</v>
      </c>
      <c r="AF151" s="340" t="e">
        <f>SUM(V151:V161)/($B$147-B150)</f>
        <v>#DIV/0!</v>
      </c>
      <c r="AG151" s="353">
        <f>SUM(D151)+$C$150</f>
        <v>0</v>
      </c>
      <c r="AH151" s="342" t="b">
        <f t="shared" si="8"/>
        <v>0</v>
      </c>
      <c r="AI151" s="343">
        <f t="shared" ref="AI151:AI161" si="20">54.5017821+AG151</f>
        <v>54.5017821</v>
      </c>
      <c r="AJ151" s="344">
        <f>SIN(AI151*3.14159265358979/180)</f>
        <v>0.81413357986421619</v>
      </c>
      <c r="AK151" s="293">
        <f t="shared" ref="AK151:AK161" si="21">+AJ151*421.92</f>
        <v>343.49924001631013</v>
      </c>
      <c r="AL151" s="343">
        <f t="shared" ref="AL151:AL161" si="22">58.7344156-AG151</f>
        <v>58.734415599999998</v>
      </c>
      <c r="AM151" s="345">
        <f t="shared" ref="AM151:AM161" si="23">SIN(AL151*3.14159265358979/180)</f>
        <v>0.85477073319485097</v>
      </c>
      <c r="AN151" s="293">
        <f t="shared" ref="AN151:AN161" si="24">+AM151*472.06</f>
        <v>403.50307231196138</v>
      </c>
      <c r="AO151" s="346" t="e">
        <f t="shared" si="9"/>
        <v>#DIV/0!</v>
      </c>
      <c r="AP151" s="959">
        <f>$C$10*($B$147-B150)</f>
        <v>0</v>
      </c>
      <c r="AQ151" s="346">
        <f t="shared" si="10"/>
        <v>60.3</v>
      </c>
      <c r="AR151" s="347">
        <f t="shared" ref="AR151:AR161" si="25">+AN151+AK151</f>
        <v>747.0023123282715</v>
      </c>
      <c r="AS151" s="348">
        <f>+V151-AN151</f>
        <v>-403.50307231196138</v>
      </c>
      <c r="AT151" s="349" t="e">
        <f t="shared" ref="AT151:AT161" si="26">+AO151-AS151</f>
        <v>#DIV/0!</v>
      </c>
      <c r="AU151" s="348" t="e">
        <f>+AF151-AS151</f>
        <v>#DIV/0!</v>
      </c>
      <c r="AV151" s="350" t="e">
        <f t="shared" ref="AV151:AV161" si="27">+((AR151-AT151)/AR151)*AQ151</f>
        <v>#DIV/0!</v>
      </c>
      <c r="AW151" s="350" t="e">
        <f t="shared" ref="AW151:AW161" si="28">+(AT151/AR151)*AQ151</f>
        <v>#DIV/0!</v>
      </c>
      <c r="AX151" s="351" t="e">
        <f t="shared" si="11"/>
        <v>#DIV/0!</v>
      </c>
      <c r="AY151" s="351" t="e">
        <f t="shared" si="12"/>
        <v>#DIV/0!</v>
      </c>
      <c r="AZ151" s="354" t="e">
        <f t="shared" ref="AZ151:AZ161" si="29">ABS(AX151)</f>
        <v>#DIV/0!</v>
      </c>
      <c r="BA151" s="354" t="e">
        <f t="shared" ref="BA151:BA161" si="30">ABS(AY151)</f>
        <v>#DIV/0!</v>
      </c>
      <c r="BC151" s="243"/>
      <c r="BE151" s="119"/>
      <c r="BF151" s="119"/>
      <c r="BG151" s="119"/>
      <c r="BH151" s="119"/>
    </row>
    <row r="152" spans="2:87" ht="19" thickBot="1" x14ac:dyDescent="0.25">
      <c r="B152" s="244">
        <v>3</v>
      </c>
      <c r="C152" s="245"/>
      <c r="D152" s="16">
        <v>0</v>
      </c>
      <c r="E152" s="234" t="s">
        <v>72</v>
      </c>
      <c r="F152" s="235"/>
      <c r="G152" s="235"/>
      <c r="H152" s="235">
        <v>472.06</v>
      </c>
      <c r="I152" s="235">
        <v>62.531168700000002</v>
      </c>
      <c r="J152" s="235">
        <f t="shared" ref="J152:J161" si="31">+I152+D152</f>
        <v>62.531168700000002</v>
      </c>
      <c r="K152" s="235">
        <f t="shared" si="13"/>
        <v>31.265584350000001</v>
      </c>
      <c r="L152" s="235">
        <f t="shared" si="14"/>
        <v>0.51900577347391186</v>
      </c>
      <c r="M152" s="235">
        <f t="shared" si="15"/>
        <v>245.00186542609484</v>
      </c>
      <c r="N152" s="235">
        <f t="shared" si="16"/>
        <v>490.00373085218968</v>
      </c>
      <c r="O152" s="235">
        <f>+C150+D151+(D152/2)</f>
        <v>0</v>
      </c>
      <c r="P152" s="235">
        <f t="shared" si="17"/>
        <v>0</v>
      </c>
      <c r="Q152" s="235">
        <f t="shared" si="18"/>
        <v>0</v>
      </c>
      <c r="R152" s="235">
        <f t="shared" si="19"/>
        <v>343.49989132317432</v>
      </c>
      <c r="S152" s="235">
        <f t="shared" ref="S152:S161" si="32">+S151+Q152</f>
        <v>343.49989132317432</v>
      </c>
      <c r="T152" s="235">
        <f t="shared" si="5"/>
        <v>343.49989132317432</v>
      </c>
      <c r="U152" s="235"/>
      <c r="V152" s="235">
        <f t="shared" si="6"/>
        <v>0</v>
      </c>
      <c r="W152" s="235"/>
      <c r="X152" s="235"/>
      <c r="Y152" s="235"/>
      <c r="Z152" s="235"/>
      <c r="AA152" s="235"/>
      <c r="AB152" s="235"/>
      <c r="AC152" s="339" t="b">
        <f>IF(AD152=3,AF152)</f>
        <v>0</v>
      </c>
      <c r="AD152" s="339">
        <f t="shared" si="7"/>
        <v>1</v>
      </c>
      <c r="AE152" s="339">
        <f>IF(V152=0,0,3)</f>
        <v>0</v>
      </c>
      <c r="AF152" s="340">
        <f>SUM(V152:V161)/($B$147-B151)</f>
        <v>0</v>
      </c>
      <c r="AG152" s="353">
        <f>SUM(D151:D152)+$C$150</f>
        <v>0</v>
      </c>
      <c r="AH152" s="342" t="b">
        <f t="shared" si="8"/>
        <v>0</v>
      </c>
      <c r="AI152" s="343">
        <f t="shared" si="20"/>
        <v>54.5017821</v>
      </c>
      <c r="AJ152" s="344">
        <f t="shared" ref="AJ152:AJ161" si="33">SIN(AI152*3.14159265358979/180)</f>
        <v>0.81413357986421619</v>
      </c>
      <c r="AK152" s="293">
        <f t="shared" si="21"/>
        <v>343.49924001631013</v>
      </c>
      <c r="AL152" s="343">
        <f t="shared" si="22"/>
        <v>58.734415599999998</v>
      </c>
      <c r="AM152" s="345">
        <f t="shared" si="23"/>
        <v>0.85477073319485097</v>
      </c>
      <c r="AN152" s="293">
        <f t="shared" si="24"/>
        <v>403.50307231196138</v>
      </c>
      <c r="AO152" s="346">
        <f t="shared" si="9"/>
        <v>1894.2316821700961</v>
      </c>
      <c r="AP152" s="959">
        <f t="shared" ref="AP152:AP161" si="34">$C$10*($B$147-B151)</f>
        <v>-57</v>
      </c>
      <c r="AQ152" s="346">
        <f t="shared" si="10"/>
        <v>3.3000000000000007</v>
      </c>
      <c r="AR152" s="347">
        <f t="shared" si="25"/>
        <v>747.0023123282715</v>
      </c>
      <c r="AS152" s="348">
        <f>+V152-AN152</f>
        <v>-403.50307231196138</v>
      </c>
      <c r="AT152" s="349">
        <f t="shared" si="26"/>
        <v>2297.7347544820573</v>
      </c>
      <c r="AU152" s="348">
        <f>+AF152-AS152</f>
        <v>403.50307231196138</v>
      </c>
      <c r="AV152" s="350">
        <f t="shared" si="27"/>
        <v>-6.850604040511505</v>
      </c>
      <c r="AW152" s="350">
        <f t="shared" si="28"/>
        <v>10.150604040511505</v>
      </c>
      <c r="AX152" s="351">
        <f t="shared" si="11"/>
        <v>-1693.281341528809</v>
      </c>
      <c r="AY152" s="351">
        <f t="shared" si="12"/>
        <v>1142.7891338982283</v>
      </c>
      <c r="AZ152" s="354">
        <f t="shared" si="29"/>
        <v>1693.281341528809</v>
      </c>
      <c r="BA152" s="354">
        <f t="shared" si="30"/>
        <v>1142.7891338982283</v>
      </c>
      <c r="BC152" s="243"/>
      <c r="BE152" s="119"/>
      <c r="BF152" s="119"/>
      <c r="BG152" s="119"/>
      <c r="BH152" s="119"/>
    </row>
    <row r="153" spans="2:87" ht="19" thickBot="1" x14ac:dyDescent="0.25">
      <c r="B153" s="244">
        <v>4</v>
      </c>
      <c r="C153" s="245"/>
      <c r="D153" s="16">
        <v>0</v>
      </c>
      <c r="E153" s="234" t="s">
        <v>72</v>
      </c>
      <c r="F153" s="235"/>
      <c r="G153" s="235"/>
      <c r="H153" s="235">
        <v>472.06</v>
      </c>
      <c r="I153" s="235">
        <v>62.531168700000002</v>
      </c>
      <c r="J153" s="235">
        <f t="shared" si="31"/>
        <v>62.531168700000002</v>
      </c>
      <c r="K153" s="235">
        <f t="shared" si="13"/>
        <v>31.265584350000001</v>
      </c>
      <c r="L153" s="235">
        <f t="shared" si="14"/>
        <v>0.51900577347391186</v>
      </c>
      <c r="M153" s="235">
        <f t="shared" si="15"/>
        <v>245.00186542609484</v>
      </c>
      <c r="N153" s="235">
        <f t="shared" si="16"/>
        <v>490.00373085218968</v>
      </c>
      <c r="O153" s="235">
        <f>+C150+D151+D152+(D153/2)</f>
        <v>0</v>
      </c>
      <c r="P153" s="235">
        <f t="shared" si="17"/>
        <v>0</v>
      </c>
      <c r="Q153" s="235">
        <f t="shared" si="18"/>
        <v>0</v>
      </c>
      <c r="R153" s="235">
        <f t="shared" si="19"/>
        <v>343.49989132317432</v>
      </c>
      <c r="S153" s="235">
        <f t="shared" si="32"/>
        <v>343.49989132317432</v>
      </c>
      <c r="T153" s="235">
        <f t="shared" si="5"/>
        <v>343.49989132317432</v>
      </c>
      <c r="U153" s="235"/>
      <c r="V153" s="235">
        <f t="shared" si="6"/>
        <v>0</v>
      </c>
      <c r="W153" s="235"/>
      <c r="X153" s="235"/>
      <c r="Y153" s="235"/>
      <c r="Z153" s="235"/>
      <c r="AA153" s="235"/>
      <c r="AB153" s="235"/>
      <c r="AC153" s="339" t="b">
        <f>IF(AD153=4,AF153)</f>
        <v>0</v>
      </c>
      <c r="AD153" s="339">
        <f t="shared" si="7"/>
        <v>1</v>
      </c>
      <c r="AE153" s="339">
        <f>IF(V153=0,0,4)</f>
        <v>0</v>
      </c>
      <c r="AF153" s="340">
        <f>SUM(V153:V161)/($B$147-B152)</f>
        <v>0</v>
      </c>
      <c r="AG153" s="353">
        <f>SUM(D151:D153)+$C$150</f>
        <v>0</v>
      </c>
      <c r="AH153" s="342" t="b">
        <f t="shared" si="8"/>
        <v>0</v>
      </c>
      <c r="AI153" s="343">
        <f t="shared" si="20"/>
        <v>54.5017821</v>
      </c>
      <c r="AJ153" s="344">
        <f t="shared" si="33"/>
        <v>0.81413357986421619</v>
      </c>
      <c r="AK153" s="293">
        <f t="shared" si="21"/>
        <v>343.49924001631013</v>
      </c>
      <c r="AL153" s="343">
        <f t="shared" si="22"/>
        <v>58.734415599999998</v>
      </c>
      <c r="AM153" s="345">
        <f t="shared" si="23"/>
        <v>0.85477073319485097</v>
      </c>
      <c r="AN153" s="293">
        <f t="shared" si="24"/>
        <v>403.50307231196138</v>
      </c>
      <c r="AO153" s="346">
        <f t="shared" si="9"/>
        <v>-116.40529890430759</v>
      </c>
      <c r="AP153" s="959">
        <f t="shared" si="34"/>
        <v>-114</v>
      </c>
      <c r="AQ153" s="346">
        <f t="shared" si="10"/>
        <v>-53.7</v>
      </c>
      <c r="AR153" s="347">
        <f t="shared" si="25"/>
        <v>747.0023123282715</v>
      </c>
      <c r="AS153" s="348">
        <f>+V153-AN153</f>
        <v>-403.50307231196138</v>
      </c>
      <c r="AT153" s="349">
        <f t="shared" si="26"/>
        <v>287.09777340765379</v>
      </c>
      <c r="AU153" s="348">
        <f t="shared" ref="AU153:AU161" si="35">+AF153-AS153</f>
        <v>403.50307231196138</v>
      </c>
      <c r="AV153" s="350">
        <f t="shared" si="27"/>
        <v>-33.06130828840606</v>
      </c>
      <c r="AW153" s="350">
        <f t="shared" si="28"/>
        <v>-20.638691711593946</v>
      </c>
      <c r="AX153" s="351">
        <f t="shared" si="11"/>
        <v>-350.86330821541895</v>
      </c>
      <c r="AY153" s="351">
        <f t="shared" si="12"/>
        <v>-562.05113008609987</v>
      </c>
      <c r="AZ153" s="354">
        <f t="shared" si="29"/>
        <v>350.86330821541895</v>
      </c>
      <c r="BA153" s="354">
        <f t="shared" si="30"/>
        <v>562.05113008609987</v>
      </c>
      <c r="BC153" s="243"/>
      <c r="BE153" s="119"/>
      <c r="BF153" s="119"/>
      <c r="BG153" s="119"/>
      <c r="BH153" s="119"/>
    </row>
    <row r="154" spans="2:87" ht="19" thickBot="1" x14ac:dyDescent="0.25">
      <c r="B154" s="244">
        <v>5</v>
      </c>
      <c r="C154" s="245"/>
      <c r="D154" s="16">
        <v>0</v>
      </c>
      <c r="E154" s="234" t="s">
        <v>72</v>
      </c>
      <c r="F154" s="235"/>
      <c r="G154" s="235"/>
      <c r="H154" s="235">
        <v>472.06</v>
      </c>
      <c r="I154" s="235">
        <v>62.531168700000002</v>
      </c>
      <c r="J154" s="235">
        <f t="shared" si="31"/>
        <v>62.531168700000002</v>
      </c>
      <c r="K154" s="235">
        <f t="shared" si="13"/>
        <v>31.265584350000001</v>
      </c>
      <c r="L154" s="235">
        <f t="shared" si="14"/>
        <v>0.51900577347391186</v>
      </c>
      <c r="M154" s="235">
        <f t="shared" si="15"/>
        <v>245.00186542609484</v>
      </c>
      <c r="N154" s="235">
        <f t="shared" si="16"/>
        <v>490.00373085218968</v>
      </c>
      <c r="O154" s="235">
        <f>+C150+D151+D152+D153+(D154/2)</f>
        <v>0</v>
      </c>
      <c r="P154" s="235">
        <f t="shared" si="17"/>
        <v>0</v>
      </c>
      <c r="Q154" s="235">
        <f t="shared" si="18"/>
        <v>0</v>
      </c>
      <c r="R154" s="235">
        <f t="shared" si="19"/>
        <v>343.49989132317432</v>
      </c>
      <c r="S154" s="235">
        <f t="shared" si="32"/>
        <v>343.49989132317432</v>
      </c>
      <c r="T154" s="235">
        <f t="shared" si="5"/>
        <v>343.49989132317432</v>
      </c>
      <c r="U154" s="235"/>
      <c r="V154" s="235">
        <f t="shared" si="6"/>
        <v>0</v>
      </c>
      <c r="W154" s="235"/>
      <c r="X154" s="235"/>
      <c r="Y154" s="235"/>
      <c r="Z154" s="235"/>
      <c r="AA154" s="235"/>
      <c r="AB154" s="235"/>
      <c r="AC154" s="339" t="b">
        <f>IF(AD154=5,AF154)</f>
        <v>0</v>
      </c>
      <c r="AD154" s="339">
        <f t="shared" si="7"/>
        <v>1</v>
      </c>
      <c r="AE154" s="339">
        <f>IF(V154=0,0,5)</f>
        <v>0</v>
      </c>
      <c r="AF154" s="340">
        <f>SUM(V154:V161)/($B$147-B153)</f>
        <v>0</v>
      </c>
      <c r="AG154" s="353">
        <f>SUM(D151:D154)+$C$150</f>
        <v>0</v>
      </c>
      <c r="AH154" s="342" t="b">
        <f t="shared" si="8"/>
        <v>0</v>
      </c>
      <c r="AI154" s="343">
        <f t="shared" si="20"/>
        <v>54.5017821</v>
      </c>
      <c r="AJ154" s="344">
        <f t="shared" si="33"/>
        <v>0.81413357986421619</v>
      </c>
      <c r="AK154" s="293">
        <f t="shared" si="21"/>
        <v>343.49924001631013</v>
      </c>
      <c r="AL154" s="343">
        <f t="shared" si="22"/>
        <v>58.734415599999998</v>
      </c>
      <c r="AM154" s="345">
        <f t="shared" si="23"/>
        <v>0.85477073319485097</v>
      </c>
      <c r="AN154" s="293">
        <f t="shared" si="24"/>
        <v>403.50307231196138</v>
      </c>
      <c r="AO154" s="346">
        <f t="shared" si="9"/>
        <v>-56.467611121601792</v>
      </c>
      <c r="AP154" s="959">
        <f t="shared" si="34"/>
        <v>-171</v>
      </c>
      <c r="AQ154" s="346">
        <f t="shared" si="10"/>
        <v>-110.69999999999999</v>
      </c>
      <c r="AR154" s="347">
        <f t="shared" si="25"/>
        <v>747.0023123282715</v>
      </c>
      <c r="AS154" s="348">
        <f t="shared" ref="AS154:AS161" si="36">+V154-AN154</f>
        <v>-403.50307231196138</v>
      </c>
      <c r="AT154" s="349">
        <f t="shared" si="26"/>
        <v>347.03546119035957</v>
      </c>
      <c r="AU154" s="348">
        <f t="shared" si="35"/>
        <v>403.50307231196138</v>
      </c>
      <c r="AV154" s="350">
        <f t="shared" si="27"/>
        <v>-59.272012536300601</v>
      </c>
      <c r="AW154" s="350">
        <f t="shared" si="28"/>
        <v>-51.427987463699388</v>
      </c>
      <c r="AX154" s="351">
        <f t="shared" si="11"/>
        <v>-195.70788140348174</v>
      </c>
      <c r="AY154" s="351">
        <f t="shared" si="12"/>
        <v>-225.55811673921517</v>
      </c>
      <c r="AZ154" s="354">
        <f t="shared" si="29"/>
        <v>195.70788140348174</v>
      </c>
      <c r="BA154" s="354">
        <f t="shared" si="30"/>
        <v>225.55811673921517</v>
      </c>
      <c r="BC154" s="243"/>
      <c r="BE154" s="119"/>
      <c r="BF154" s="119"/>
      <c r="BG154" s="119"/>
      <c r="BH154" s="119"/>
    </row>
    <row r="155" spans="2:87" ht="19" thickBot="1" x14ac:dyDescent="0.25">
      <c r="B155" s="244">
        <v>6</v>
      </c>
      <c r="C155" s="245"/>
      <c r="D155" s="16">
        <v>0</v>
      </c>
      <c r="E155" s="234" t="s">
        <v>72</v>
      </c>
      <c r="F155" s="235"/>
      <c r="G155" s="235"/>
      <c r="H155" s="235">
        <v>472.06</v>
      </c>
      <c r="I155" s="235">
        <v>62.531168700000002</v>
      </c>
      <c r="J155" s="235">
        <f t="shared" si="31"/>
        <v>62.531168700000002</v>
      </c>
      <c r="K155" s="235">
        <f t="shared" si="13"/>
        <v>31.265584350000001</v>
      </c>
      <c r="L155" s="235">
        <f t="shared" si="14"/>
        <v>0.51900577347391186</v>
      </c>
      <c r="M155" s="235">
        <f t="shared" si="15"/>
        <v>245.00186542609484</v>
      </c>
      <c r="N155" s="235">
        <f t="shared" si="16"/>
        <v>490.00373085218968</v>
      </c>
      <c r="O155" s="235">
        <f>+C150+D151+D152+D153+D154+(D155/2)</f>
        <v>0</v>
      </c>
      <c r="P155" s="235">
        <f t="shared" si="17"/>
        <v>0</v>
      </c>
      <c r="Q155" s="235">
        <f t="shared" si="18"/>
        <v>0</v>
      </c>
      <c r="R155" s="235">
        <f t="shared" si="19"/>
        <v>343.49989132317432</v>
      </c>
      <c r="S155" s="235">
        <f t="shared" si="32"/>
        <v>343.49989132317432</v>
      </c>
      <c r="T155" s="235">
        <f t="shared" si="5"/>
        <v>343.49989132317432</v>
      </c>
      <c r="U155" s="235"/>
      <c r="V155" s="235">
        <f t="shared" si="6"/>
        <v>0</v>
      </c>
      <c r="W155" s="235"/>
      <c r="X155" s="235"/>
      <c r="Y155" s="235"/>
      <c r="Z155" s="235"/>
      <c r="AA155" s="235"/>
      <c r="AB155" s="235"/>
      <c r="AC155" s="339" t="b">
        <f>IF(AD155=6,AF155)</f>
        <v>0</v>
      </c>
      <c r="AD155" s="339">
        <f t="shared" si="7"/>
        <v>1</v>
      </c>
      <c r="AE155" s="339">
        <f>IF(V155=0,0,6)</f>
        <v>0</v>
      </c>
      <c r="AF155" s="340">
        <f>SUM(V155:V161)/($B$147-B154)</f>
        <v>0</v>
      </c>
      <c r="AG155" s="353">
        <f>SUM(D151:D155)+$C$150</f>
        <v>0</v>
      </c>
      <c r="AH155" s="342" t="b">
        <f t="shared" si="8"/>
        <v>0</v>
      </c>
      <c r="AI155" s="343">
        <f t="shared" si="20"/>
        <v>54.5017821</v>
      </c>
      <c r="AJ155" s="344">
        <f t="shared" si="33"/>
        <v>0.81413357986421619</v>
      </c>
      <c r="AK155" s="293">
        <f t="shared" si="21"/>
        <v>343.49924001631013</v>
      </c>
      <c r="AL155" s="343">
        <f t="shared" si="22"/>
        <v>58.734415599999998</v>
      </c>
      <c r="AM155" s="345">
        <f t="shared" si="23"/>
        <v>0.85477073319485097</v>
      </c>
      <c r="AN155" s="293">
        <f t="shared" si="24"/>
        <v>403.50307231196138</v>
      </c>
      <c r="AO155" s="346">
        <f t="shared" si="9"/>
        <v>-37.274684264527835</v>
      </c>
      <c r="AP155" s="959">
        <f t="shared" si="34"/>
        <v>-228</v>
      </c>
      <c r="AQ155" s="346">
        <f t="shared" si="10"/>
        <v>-167.7</v>
      </c>
      <c r="AR155" s="347">
        <f t="shared" si="25"/>
        <v>747.0023123282715</v>
      </c>
      <c r="AS155" s="348">
        <f t="shared" si="36"/>
        <v>-403.50307231196138</v>
      </c>
      <c r="AT155" s="349">
        <f t="shared" si="26"/>
        <v>366.22838804743355</v>
      </c>
      <c r="AU155" s="348">
        <f t="shared" si="35"/>
        <v>403.50307231196138</v>
      </c>
      <c r="AV155" s="350">
        <f t="shared" si="27"/>
        <v>-85.482716784195148</v>
      </c>
      <c r="AW155" s="350">
        <f t="shared" si="28"/>
        <v>-82.217283215804841</v>
      </c>
      <c r="AX155" s="351">
        <f t="shared" si="11"/>
        <v>-135.69994539697078</v>
      </c>
      <c r="AY155" s="351">
        <f t="shared" si="12"/>
        <v>-141.08955618920405</v>
      </c>
      <c r="AZ155" s="354">
        <f t="shared" si="29"/>
        <v>135.69994539697078</v>
      </c>
      <c r="BA155" s="354">
        <f t="shared" si="30"/>
        <v>141.08955618920405</v>
      </c>
      <c r="BC155" s="243"/>
      <c r="BE155" s="119"/>
      <c r="BF155" s="119"/>
      <c r="BG155" s="119"/>
      <c r="BH155" s="119"/>
    </row>
    <row r="156" spans="2:87" ht="19" thickBot="1" x14ac:dyDescent="0.25">
      <c r="B156" s="244">
        <v>7</v>
      </c>
      <c r="C156" s="245"/>
      <c r="D156" s="16">
        <v>0</v>
      </c>
      <c r="E156" s="234" t="s">
        <v>72</v>
      </c>
      <c r="F156" s="235"/>
      <c r="G156" s="235"/>
      <c r="H156" s="235">
        <v>472.06</v>
      </c>
      <c r="I156" s="235">
        <v>62.531168700000002</v>
      </c>
      <c r="J156" s="235">
        <f t="shared" si="31"/>
        <v>62.531168700000002</v>
      </c>
      <c r="K156" s="235">
        <f t="shared" si="13"/>
        <v>31.265584350000001</v>
      </c>
      <c r="L156" s="235">
        <f t="shared" si="14"/>
        <v>0.51900577347391186</v>
      </c>
      <c r="M156" s="235">
        <f t="shared" si="15"/>
        <v>245.00186542609484</v>
      </c>
      <c r="N156" s="235">
        <f t="shared" si="16"/>
        <v>490.00373085218968</v>
      </c>
      <c r="O156" s="235">
        <f>+C150+D151+D152+D153+D154+D155+(D156/2)</f>
        <v>0</v>
      </c>
      <c r="P156" s="235">
        <f t="shared" si="17"/>
        <v>0</v>
      </c>
      <c r="Q156" s="235">
        <f t="shared" si="18"/>
        <v>0</v>
      </c>
      <c r="R156" s="235">
        <f t="shared" si="19"/>
        <v>343.49989132317432</v>
      </c>
      <c r="S156" s="235">
        <f t="shared" si="32"/>
        <v>343.49989132317432</v>
      </c>
      <c r="T156" s="235">
        <f t="shared" si="5"/>
        <v>343.49989132317432</v>
      </c>
      <c r="U156" s="235"/>
      <c r="V156" s="235">
        <f t="shared" si="6"/>
        <v>0</v>
      </c>
      <c r="W156" s="235"/>
      <c r="X156" s="235"/>
      <c r="Y156" s="235"/>
      <c r="Z156" s="235"/>
      <c r="AA156" s="235"/>
      <c r="AB156" s="235"/>
      <c r="AC156" s="339" t="b">
        <f>IF(AD156=7,AF156)</f>
        <v>0</v>
      </c>
      <c r="AD156" s="339">
        <f t="shared" si="7"/>
        <v>1</v>
      </c>
      <c r="AE156" s="339">
        <f>IF(V156=0,0,7)</f>
        <v>0</v>
      </c>
      <c r="AF156" s="340">
        <f>SUM(V156:V161)/($B$147-B155)</f>
        <v>0</v>
      </c>
      <c r="AG156" s="353">
        <f>SUM(D151:D156)+$C$150</f>
        <v>0</v>
      </c>
      <c r="AH156" s="342" t="b">
        <f t="shared" si="8"/>
        <v>0</v>
      </c>
      <c r="AI156" s="343">
        <f t="shared" si="20"/>
        <v>54.5017821</v>
      </c>
      <c r="AJ156" s="344">
        <f t="shared" si="33"/>
        <v>0.81413357986421619</v>
      </c>
      <c r="AK156" s="293">
        <f t="shared" si="21"/>
        <v>343.49924001631013</v>
      </c>
      <c r="AL156" s="343">
        <f t="shared" si="22"/>
        <v>58.734415599999998</v>
      </c>
      <c r="AM156" s="345">
        <f t="shared" si="23"/>
        <v>0.85477073319485097</v>
      </c>
      <c r="AN156" s="293">
        <f t="shared" si="24"/>
        <v>403.50307231196138</v>
      </c>
      <c r="AO156" s="346">
        <f t="shared" si="9"/>
        <v>-27.819156881002751</v>
      </c>
      <c r="AP156" s="959">
        <f t="shared" si="34"/>
        <v>-285</v>
      </c>
      <c r="AQ156" s="346">
        <f t="shared" si="10"/>
        <v>-224.7</v>
      </c>
      <c r="AR156" s="347">
        <f t="shared" si="25"/>
        <v>747.0023123282715</v>
      </c>
      <c r="AS156" s="348">
        <f t="shared" si="36"/>
        <v>-403.50307231196138</v>
      </c>
      <c r="AT156" s="349">
        <f t="shared" si="26"/>
        <v>375.68391543095862</v>
      </c>
      <c r="AU156" s="348">
        <f t="shared" si="35"/>
        <v>403.50307231196138</v>
      </c>
      <c r="AV156" s="350">
        <f t="shared" si="27"/>
        <v>-111.6934210320897</v>
      </c>
      <c r="AW156" s="350">
        <f t="shared" si="28"/>
        <v>-113.00657896791029</v>
      </c>
      <c r="AX156" s="351">
        <f t="shared" si="11"/>
        <v>-103.85571408603647</v>
      </c>
      <c r="AY156" s="351">
        <f t="shared" si="12"/>
        <v>-102.64889094018122</v>
      </c>
      <c r="AZ156" s="354">
        <f t="shared" si="29"/>
        <v>103.85571408603647</v>
      </c>
      <c r="BA156" s="354">
        <f t="shared" si="30"/>
        <v>102.64889094018122</v>
      </c>
      <c r="BC156" s="243"/>
      <c r="BE156" s="119"/>
      <c r="BF156" s="119"/>
      <c r="BG156" s="119"/>
      <c r="BH156" s="119"/>
    </row>
    <row r="157" spans="2:87" ht="19" thickBot="1" x14ac:dyDescent="0.25">
      <c r="B157" s="244">
        <v>8</v>
      </c>
      <c r="C157" s="245"/>
      <c r="D157" s="16">
        <v>0</v>
      </c>
      <c r="E157" s="234" t="s">
        <v>72</v>
      </c>
      <c r="F157" s="235"/>
      <c r="G157" s="235"/>
      <c r="H157" s="235">
        <v>472.06</v>
      </c>
      <c r="I157" s="235">
        <v>62.531168700000002</v>
      </c>
      <c r="J157" s="235">
        <f t="shared" si="31"/>
        <v>62.531168700000002</v>
      </c>
      <c r="K157" s="235">
        <f t="shared" si="13"/>
        <v>31.265584350000001</v>
      </c>
      <c r="L157" s="235">
        <f t="shared" si="14"/>
        <v>0.51900577347391186</v>
      </c>
      <c r="M157" s="235">
        <f t="shared" si="15"/>
        <v>245.00186542609484</v>
      </c>
      <c r="N157" s="235">
        <f t="shared" si="16"/>
        <v>490.00373085218968</v>
      </c>
      <c r="O157" s="235">
        <f>+C150+D151+D152+D153+D154+D155+D156+(D157/2)</f>
        <v>0</v>
      </c>
      <c r="P157" s="235">
        <f t="shared" si="17"/>
        <v>0</v>
      </c>
      <c r="Q157" s="235">
        <f t="shared" si="18"/>
        <v>0</v>
      </c>
      <c r="R157" s="235">
        <f t="shared" si="19"/>
        <v>343.49989132317432</v>
      </c>
      <c r="S157" s="235">
        <f t="shared" si="32"/>
        <v>343.49989132317432</v>
      </c>
      <c r="T157" s="235">
        <f t="shared" si="5"/>
        <v>343.49989132317432</v>
      </c>
      <c r="U157" s="235"/>
      <c r="V157" s="235">
        <f t="shared" si="6"/>
        <v>0</v>
      </c>
      <c r="W157" s="235"/>
      <c r="X157" s="235"/>
      <c r="Y157" s="235"/>
      <c r="Z157" s="235"/>
      <c r="AA157" s="235"/>
      <c r="AB157" s="235"/>
      <c r="AC157" s="339" t="b">
        <f>IF(AD157=8,AF157)</f>
        <v>0</v>
      </c>
      <c r="AD157" s="339">
        <f t="shared" si="7"/>
        <v>1</v>
      </c>
      <c r="AE157" s="339">
        <f>IF(V157=0,0,8)</f>
        <v>0</v>
      </c>
      <c r="AF157" s="340">
        <f>SUM(V157:V161)/($B$147-B156)</f>
        <v>0</v>
      </c>
      <c r="AG157" s="353">
        <f>SUM(D151:D157)+$C$150</f>
        <v>0</v>
      </c>
      <c r="AH157" s="342" t="b">
        <f t="shared" si="8"/>
        <v>0</v>
      </c>
      <c r="AI157" s="343">
        <f t="shared" si="20"/>
        <v>54.5017821</v>
      </c>
      <c r="AJ157" s="344">
        <f t="shared" si="33"/>
        <v>0.81413357986421619</v>
      </c>
      <c r="AK157" s="293">
        <f t="shared" si="21"/>
        <v>343.49924001631013</v>
      </c>
      <c r="AL157" s="343">
        <f t="shared" si="22"/>
        <v>58.734415599999998</v>
      </c>
      <c r="AM157" s="345">
        <f t="shared" si="23"/>
        <v>0.85477073319485097</v>
      </c>
      <c r="AN157" s="293">
        <f t="shared" si="24"/>
        <v>403.50307231196138</v>
      </c>
      <c r="AO157" s="346">
        <f t="shared" si="9"/>
        <v>-22.190147501460128</v>
      </c>
      <c r="AP157" s="959">
        <f t="shared" si="34"/>
        <v>-342</v>
      </c>
      <c r="AQ157" s="346">
        <f t="shared" si="10"/>
        <v>-281.7</v>
      </c>
      <c r="AR157" s="347">
        <f t="shared" si="25"/>
        <v>747.0023123282715</v>
      </c>
      <c r="AS157" s="348">
        <f t="shared" si="36"/>
        <v>-403.50307231196138</v>
      </c>
      <c r="AT157" s="349">
        <f t="shared" si="26"/>
        <v>381.31292481050127</v>
      </c>
      <c r="AU157" s="348">
        <f t="shared" si="35"/>
        <v>403.50307231196138</v>
      </c>
      <c r="AV157" s="350">
        <f t="shared" si="27"/>
        <v>-137.90412527998424</v>
      </c>
      <c r="AW157" s="350">
        <f t="shared" si="28"/>
        <v>-143.79587472001575</v>
      </c>
      <c r="AX157" s="351">
        <f t="shared" si="11"/>
        <v>-84.116410415197734</v>
      </c>
      <c r="AY157" s="351">
        <f t="shared" si="12"/>
        <v>-80.669908108186718</v>
      </c>
      <c r="AZ157" s="354">
        <f t="shared" si="29"/>
        <v>84.116410415197734</v>
      </c>
      <c r="BA157" s="354">
        <f t="shared" si="30"/>
        <v>80.669908108186718</v>
      </c>
      <c r="BC157" s="243"/>
      <c r="BE157" s="119"/>
      <c r="BF157" s="119"/>
      <c r="BG157" s="119"/>
      <c r="BH157" s="119"/>
    </row>
    <row r="158" spans="2:87" ht="19" thickBot="1" x14ac:dyDescent="0.25">
      <c r="B158" s="244">
        <v>9</v>
      </c>
      <c r="C158" s="245"/>
      <c r="D158" s="16">
        <v>0</v>
      </c>
      <c r="E158" s="234" t="s">
        <v>72</v>
      </c>
      <c r="F158" s="235"/>
      <c r="G158" s="235"/>
      <c r="H158" s="235">
        <v>472.06</v>
      </c>
      <c r="I158" s="235">
        <v>62.531168700000002</v>
      </c>
      <c r="J158" s="235">
        <f t="shared" si="31"/>
        <v>62.531168700000002</v>
      </c>
      <c r="K158" s="235">
        <f t="shared" si="13"/>
        <v>31.265584350000001</v>
      </c>
      <c r="L158" s="235">
        <f t="shared" si="14"/>
        <v>0.51900577347391186</v>
      </c>
      <c r="M158" s="235">
        <f t="shared" si="15"/>
        <v>245.00186542609484</v>
      </c>
      <c r="N158" s="235">
        <f t="shared" si="16"/>
        <v>490.00373085218968</v>
      </c>
      <c r="O158" s="235">
        <f>+C150+D151+D152+D153+D154+D155+D156+D157+(D158/2)</f>
        <v>0</v>
      </c>
      <c r="P158" s="235">
        <f t="shared" si="17"/>
        <v>0</v>
      </c>
      <c r="Q158" s="235">
        <f t="shared" si="18"/>
        <v>0</v>
      </c>
      <c r="R158" s="235">
        <f t="shared" si="19"/>
        <v>343.49989132317432</v>
      </c>
      <c r="S158" s="235">
        <f t="shared" si="32"/>
        <v>343.49989132317432</v>
      </c>
      <c r="T158" s="235">
        <f t="shared" si="5"/>
        <v>343.49989132317432</v>
      </c>
      <c r="U158" s="235"/>
      <c r="V158" s="235">
        <f t="shared" si="6"/>
        <v>0</v>
      </c>
      <c r="W158" s="235"/>
      <c r="X158" s="235"/>
      <c r="Y158" s="235"/>
      <c r="Z158" s="235"/>
      <c r="AA158" s="235"/>
      <c r="AB158" s="235"/>
      <c r="AC158" s="339" t="b">
        <f>IF(AD158=9,AF158)</f>
        <v>0</v>
      </c>
      <c r="AD158" s="339">
        <f t="shared" si="7"/>
        <v>1</v>
      </c>
      <c r="AE158" s="339">
        <f>IF(V158=0,0,9)</f>
        <v>0</v>
      </c>
      <c r="AF158" s="340">
        <f>SUM(V158:V161)/($B$147-B157)</f>
        <v>0</v>
      </c>
      <c r="AG158" s="353">
        <f>SUM(D151:D158)+$C$150</f>
        <v>0</v>
      </c>
      <c r="AH158" s="342" t="b">
        <f t="shared" si="8"/>
        <v>0</v>
      </c>
      <c r="AI158" s="343">
        <f t="shared" si="20"/>
        <v>54.5017821</v>
      </c>
      <c r="AJ158" s="344">
        <f t="shared" si="33"/>
        <v>0.81413357986421619</v>
      </c>
      <c r="AK158" s="293">
        <f t="shared" si="21"/>
        <v>343.49924001631013</v>
      </c>
      <c r="AL158" s="343">
        <f t="shared" si="22"/>
        <v>58.734415599999998</v>
      </c>
      <c r="AM158" s="345">
        <f t="shared" si="23"/>
        <v>0.85477073319485097</v>
      </c>
      <c r="AN158" s="293">
        <f t="shared" si="24"/>
        <v>403.50307231196138</v>
      </c>
      <c r="AO158" s="346">
        <f t="shared" si="9"/>
        <v>-18.455755982171002</v>
      </c>
      <c r="AP158" s="959">
        <f t="shared" si="34"/>
        <v>-399</v>
      </c>
      <c r="AQ158" s="346">
        <f t="shared" si="10"/>
        <v>-338.7</v>
      </c>
      <c r="AR158" s="347">
        <f t="shared" si="25"/>
        <v>747.0023123282715</v>
      </c>
      <c r="AS158" s="348">
        <f t="shared" si="36"/>
        <v>-403.50307231196138</v>
      </c>
      <c r="AT158" s="349">
        <f t="shared" si="26"/>
        <v>385.04731632979036</v>
      </c>
      <c r="AU158" s="348">
        <f t="shared" si="35"/>
        <v>403.50307231196138</v>
      </c>
      <c r="AV158" s="350">
        <f t="shared" si="27"/>
        <v>-164.11482952787881</v>
      </c>
      <c r="AW158" s="350">
        <f t="shared" si="28"/>
        <v>-174.58517047212118</v>
      </c>
      <c r="AX158" s="351">
        <f t="shared" si="11"/>
        <v>-70.682217038951151</v>
      </c>
      <c r="AY158" s="351">
        <f t="shared" si="12"/>
        <v>-66.443214899815089</v>
      </c>
      <c r="AZ158" s="354">
        <f t="shared" si="29"/>
        <v>70.682217038951151</v>
      </c>
      <c r="BA158" s="354">
        <f t="shared" si="30"/>
        <v>66.443214899815089</v>
      </c>
      <c r="BC158" s="243"/>
      <c r="BE158" s="119"/>
      <c r="BF158" s="119"/>
      <c r="BG158" s="119"/>
      <c r="BH158" s="119"/>
      <c r="BP158" s="267"/>
      <c r="BQ158" s="267"/>
      <c r="BR158" s="267"/>
      <c r="BS158" s="267"/>
      <c r="BT158" s="267"/>
      <c r="BU158" s="267"/>
      <c r="BV158" s="1109"/>
      <c r="BW158" s="1109"/>
      <c r="BX158" s="1109"/>
      <c r="BY158" s="109"/>
    </row>
    <row r="159" spans="2:87" ht="19" thickBot="1" x14ac:dyDescent="0.25">
      <c r="B159" s="244">
        <v>10</v>
      </c>
      <c r="C159" s="245"/>
      <c r="D159" s="16">
        <v>0</v>
      </c>
      <c r="E159" s="234" t="s">
        <v>72</v>
      </c>
      <c r="F159" s="235"/>
      <c r="G159" s="235"/>
      <c r="H159" s="235">
        <v>472.06</v>
      </c>
      <c r="I159" s="235">
        <v>62.531168700000002</v>
      </c>
      <c r="J159" s="235">
        <f t="shared" si="31"/>
        <v>62.531168700000002</v>
      </c>
      <c r="K159" s="235">
        <f t="shared" si="13"/>
        <v>31.265584350000001</v>
      </c>
      <c r="L159" s="235">
        <f t="shared" si="14"/>
        <v>0.51900577347391186</v>
      </c>
      <c r="M159" s="235">
        <f t="shared" si="15"/>
        <v>245.00186542609484</v>
      </c>
      <c r="N159" s="235">
        <f t="shared" si="16"/>
        <v>490.00373085218968</v>
      </c>
      <c r="O159" s="235">
        <f>+C150+D151+D152+D153+D154+D155+D156+D157+D158+(D159/2)</f>
        <v>0</v>
      </c>
      <c r="P159" s="235">
        <f t="shared" si="17"/>
        <v>0</v>
      </c>
      <c r="Q159" s="235">
        <f t="shared" si="18"/>
        <v>0</v>
      </c>
      <c r="R159" s="235">
        <f t="shared" si="19"/>
        <v>343.49989132317432</v>
      </c>
      <c r="S159" s="235">
        <f t="shared" si="32"/>
        <v>343.49989132317432</v>
      </c>
      <c r="T159" s="235">
        <f t="shared" si="5"/>
        <v>343.49989132317432</v>
      </c>
      <c r="U159" s="235"/>
      <c r="V159" s="235">
        <f t="shared" si="6"/>
        <v>0</v>
      </c>
      <c r="W159" s="235"/>
      <c r="X159" s="235"/>
      <c r="Y159" s="235"/>
      <c r="Z159" s="235"/>
      <c r="AA159" s="235"/>
      <c r="AB159" s="235"/>
      <c r="AC159" s="339" t="b">
        <f>IF(AD159=10,AF159)</f>
        <v>0</v>
      </c>
      <c r="AD159" s="339">
        <f t="shared" si="7"/>
        <v>1</v>
      </c>
      <c r="AE159" s="339">
        <f>IF(V159=0,0,10)</f>
        <v>0</v>
      </c>
      <c r="AF159" s="340">
        <f>SUM(V159:V161)/($B$147-B158)</f>
        <v>0</v>
      </c>
      <c r="AG159" s="353">
        <f>SUM(D151:D159)+$C$150</f>
        <v>0</v>
      </c>
      <c r="AH159" s="342" t="b">
        <f t="shared" si="8"/>
        <v>0</v>
      </c>
      <c r="AI159" s="343">
        <f t="shared" si="20"/>
        <v>54.5017821</v>
      </c>
      <c r="AJ159" s="344">
        <f t="shared" si="33"/>
        <v>0.81413357986421619</v>
      </c>
      <c r="AK159" s="293">
        <f t="shared" si="21"/>
        <v>343.49924001631013</v>
      </c>
      <c r="AL159" s="343">
        <f t="shared" si="22"/>
        <v>58.734415599999998</v>
      </c>
      <c r="AM159" s="345">
        <f t="shared" si="23"/>
        <v>0.85477073319485097</v>
      </c>
      <c r="AN159" s="293">
        <f t="shared" si="24"/>
        <v>403.50307231196138</v>
      </c>
      <c r="AO159" s="346">
        <f t="shared" si="9"/>
        <v>-15.797231617794587</v>
      </c>
      <c r="AP159" s="959">
        <f t="shared" si="34"/>
        <v>-456</v>
      </c>
      <c r="AQ159" s="346">
        <f t="shared" si="10"/>
        <v>-395.7</v>
      </c>
      <c r="AR159" s="347">
        <f t="shared" si="25"/>
        <v>747.0023123282715</v>
      </c>
      <c r="AS159" s="348">
        <f t="shared" si="36"/>
        <v>-403.50307231196138</v>
      </c>
      <c r="AT159" s="349">
        <f t="shared" si="26"/>
        <v>387.7058406941668</v>
      </c>
      <c r="AU159" s="348">
        <f t="shared" si="35"/>
        <v>403.50307231196138</v>
      </c>
      <c r="AV159" s="350">
        <f t="shared" si="27"/>
        <v>-190.32553377577335</v>
      </c>
      <c r="AW159" s="350">
        <f t="shared" si="28"/>
        <v>-205.37446622422664</v>
      </c>
      <c r="AX159" s="351">
        <f t="shared" si="11"/>
        <v>-60.948206842631066</v>
      </c>
      <c r="AY159" s="351">
        <f t="shared" si="12"/>
        <v>-56.482191838469284</v>
      </c>
      <c r="AZ159" s="354">
        <f t="shared" si="29"/>
        <v>60.948206842631066</v>
      </c>
      <c r="BA159" s="354">
        <f t="shared" si="30"/>
        <v>56.482191838469284</v>
      </c>
      <c r="BC159" s="243"/>
      <c r="BE159" s="119"/>
      <c r="BF159" s="119"/>
      <c r="BG159" s="119"/>
      <c r="BH159" s="119"/>
      <c r="BV159" s="268"/>
      <c r="CI159" s="268"/>
    </row>
    <row r="160" spans="2:87" ht="19" thickBot="1" x14ac:dyDescent="0.25">
      <c r="B160" s="244">
        <v>11</v>
      </c>
      <c r="C160" s="245"/>
      <c r="D160" s="16">
        <v>0</v>
      </c>
      <c r="E160" s="234" t="s">
        <v>72</v>
      </c>
      <c r="F160" s="235"/>
      <c r="G160" s="235"/>
      <c r="H160" s="235">
        <v>472.06</v>
      </c>
      <c r="I160" s="235">
        <v>62.531168700000002</v>
      </c>
      <c r="J160" s="235">
        <f t="shared" si="31"/>
        <v>62.531168700000002</v>
      </c>
      <c r="K160" s="235">
        <f t="shared" si="13"/>
        <v>31.265584350000001</v>
      </c>
      <c r="L160" s="235">
        <f t="shared" si="14"/>
        <v>0.51900577347391186</v>
      </c>
      <c r="M160" s="235">
        <f t="shared" si="15"/>
        <v>245.00186542609484</v>
      </c>
      <c r="N160" s="235">
        <f t="shared" si="16"/>
        <v>490.00373085218968</v>
      </c>
      <c r="O160" s="235">
        <f>+C150+D151+D152+D153+D154+D155+D156+D157+D158+D159+(D160/2)</f>
        <v>0</v>
      </c>
      <c r="P160" s="235">
        <f t="shared" si="17"/>
        <v>0</v>
      </c>
      <c r="Q160" s="235">
        <f t="shared" si="18"/>
        <v>0</v>
      </c>
      <c r="R160" s="235">
        <f t="shared" si="19"/>
        <v>343.49989132317432</v>
      </c>
      <c r="S160" s="235">
        <f t="shared" si="32"/>
        <v>343.49989132317432</v>
      </c>
      <c r="T160" s="235">
        <f t="shared" si="5"/>
        <v>343.49989132317432</v>
      </c>
      <c r="U160" s="235"/>
      <c r="V160" s="235">
        <f t="shared" si="6"/>
        <v>0</v>
      </c>
      <c r="W160" s="235"/>
      <c r="X160" s="235"/>
      <c r="Y160" s="235"/>
      <c r="Z160" s="235"/>
      <c r="AA160" s="235"/>
      <c r="AB160" s="235"/>
      <c r="AC160" s="339" t="b">
        <f>IF(AD160=11,AF160)</f>
        <v>0</v>
      </c>
      <c r="AD160" s="339">
        <f t="shared" si="7"/>
        <v>1</v>
      </c>
      <c r="AE160" s="339">
        <f>IF(V160=0,0,11)</f>
        <v>0</v>
      </c>
      <c r="AF160" s="340">
        <f>SUM(V160:V161)/($B$147-B159)</f>
        <v>0</v>
      </c>
      <c r="AG160" s="353">
        <f>SUM(D151:D160)+$C$150</f>
        <v>0</v>
      </c>
      <c r="AH160" s="342" t="b">
        <f t="shared" si="8"/>
        <v>0</v>
      </c>
      <c r="AI160" s="343">
        <f t="shared" si="20"/>
        <v>54.5017821</v>
      </c>
      <c r="AJ160" s="344">
        <f t="shared" si="33"/>
        <v>0.81413357986421619</v>
      </c>
      <c r="AK160" s="293">
        <f t="shared" si="21"/>
        <v>343.49924001631013</v>
      </c>
      <c r="AL160" s="343">
        <f t="shared" si="22"/>
        <v>58.734415599999998</v>
      </c>
      <c r="AM160" s="345">
        <f t="shared" si="23"/>
        <v>0.85477073319485097</v>
      </c>
      <c r="AN160" s="293">
        <f t="shared" si="24"/>
        <v>403.50307231196138</v>
      </c>
      <c r="AO160" s="346">
        <f t="shared" si="9"/>
        <v>-13.80818323649507</v>
      </c>
      <c r="AP160" s="959">
        <f t="shared" si="34"/>
        <v>-513</v>
      </c>
      <c r="AQ160" s="346">
        <f t="shared" si="10"/>
        <v>-452.7</v>
      </c>
      <c r="AR160" s="347">
        <f t="shared" si="25"/>
        <v>747.0023123282715</v>
      </c>
      <c r="AS160" s="348">
        <f t="shared" si="36"/>
        <v>-403.50307231196138</v>
      </c>
      <c r="AT160" s="349">
        <f t="shared" si="26"/>
        <v>389.69488907546628</v>
      </c>
      <c r="AU160" s="348">
        <f t="shared" si="35"/>
        <v>403.50307231196138</v>
      </c>
      <c r="AV160" s="350">
        <f t="shared" si="27"/>
        <v>-216.53623802366792</v>
      </c>
      <c r="AW160" s="350">
        <f t="shared" si="28"/>
        <v>-236.16376197633207</v>
      </c>
      <c r="AX160" s="351">
        <f t="shared" si="11"/>
        <v>-53.570709946166573</v>
      </c>
      <c r="AY160" s="351">
        <f t="shared" si="12"/>
        <v>-49.118458746276801</v>
      </c>
      <c r="AZ160" s="354">
        <f t="shared" si="29"/>
        <v>53.570709946166573</v>
      </c>
      <c r="BA160" s="354">
        <f t="shared" si="30"/>
        <v>49.118458746276801</v>
      </c>
      <c r="BC160" s="243"/>
      <c r="BE160" s="119"/>
      <c r="BF160" s="119"/>
      <c r="BG160" s="119"/>
      <c r="BH160" s="119"/>
      <c r="BP160" s="269"/>
      <c r="BQ160" s="269"/>
      <c r="BR160" s="269"/>
      <c r="BS160" s="269"/>
      <c r="BT160" s="269"/>
      <c r="BU160" s="269"/>
      <c r="BV160" s="1110"/>
      <c r="BW160" s="1110"/>
      <c r="CH160" s="1104"/>
      <c r="CI160" s="1104"/>
    </row>
    <row r="161" spans="2:128" ht="19" thickBot="1" x14ac:dyDescent="0.25">
      <c r="B161" s="244">
        <v>12</v>
      </c>
      <c r="C161" s="245"/>
      <c r="D161" s="16">
        <v>0</v>
      </c>
      <c r="E161" s="234" t="s">
        <v>72</v>
      </c>
      <c r="F161" s="235"/>
      <c r="G161" s="235"/>
      <c r="H161" s="235">
        <v>472.06</v>
      </c>
      <c r="I161" s="235">
        <v>62.531168700000002</v>
      </c>
      <c r="J161" s="235">
        <f t="shared" si="31"/>
        <v>62.531168700000002</v>
      </c>
      <c r="K161" s="235">
        <f t="shared" si="13"/>
        <v>31.265584350000001</v>
      </c>
      <c r="L161" s="235">
        <f t="shared" si="14"/>
        <v>0.51900577347391186</v>
      </c>
      <c r="M161" s="235">
        <f t="shared" si="15"/>
        <v>245.00186542609484</v>
      </c>
      <c r="N161" s="235">
        <f t="shared" si="16"/>
        <v>490.00373085218968</v>
      </c>
      <c r="O161" s="235">
        <f>+C150+D151+D152+D153+D154+D155+D156+D157+D158+D159+D160+(D161/2)</f>
        <v>0</v>
      </c>
      <c r="P161" s="235">
        <f t="shared" si="17"/>
        <v>0</v>
      </c>
      <c r="Q161" s="235">
        <f t="shared" si="18"/>
        <v>0</v>
      </c>
      <c r="R161" s="235">
        <f t="shared" si="19"/>
        <v>343.49989132317432</v>
      </c>
      <c r="S161" s="235">
        <f t="shared" si="32"/>
        <v>343.49989132317432</v>
      </c>
      <c r="T161" s="235">
        <f t="shared" si="5"/>
        <v>343.49989132317432</v>
      </c>
      <c r="U161" s="235"/>
      <c r="V161" s="235">
        <f t="shared" si="6"/>
        <v>0</v>
      </c>
      <c r="W161" s="235"/>
      <c r="X161" s="235"/>
      <c r="Y161" s="235"/>
      <c r="Z161" s="235"/>
      <c r="AA161" s="235"/>
      <c r="AB161" s="235"/>
      <c r="AC161" s="339" t="b">
        <f>IF(AD161=12,AF161)</f>
        <v>0</v>
      </c>
      <c r="AD161" s="339">
        <f t="shared" si="7"/>
        <v>1</v>
      </c>
      <c r="AE161" s="339">
        <f>IF(V161=0,0,12)</f>
        <v>0</v>
      </c>
      <c r="AF161" s="340">
        <f>SUM(V161)/($B$147-B160)</f>
        <v>0</v>
      </c>
      <c r="AG161" s="353">
        <f>SUM(D151:D161)+$C$150</f>
        <v>0</v>
      </c>
      <c r="AH161" s="342" t="b">
        <f t="shared" si="8"/>
        <v>0</v>
      </c>
      <c r="AI161" s="343">
        <f t="shared" si="20"/>
        <v>54.5017821</v>
      </c>
      <c r="AJ161" s="344">
        <f t="shared" si="33"/>
        <v>0.81413357986421619</v>
      </c>
      <c r="AK161" s="293">
        <f t="shared" si="21"/>
        <v>343.49924001631013</v>
      </c>
      <c r="AL161" s="343">
        <f t="shared" si="22"/>
        <v>58.734415599999998</v>
      </c>
      <c r="AM161" s="345">
        <f t="shared" si="23"/>
        <v>0.85477073319485097</v>
      </c>
      <c r="AN161" s="293">
        <f t="shared" si="24"/>
        <v>403.50307231196138</v>
      </c>
      <c r="AO161" s="346">
        <f t="shared" si="9"/>
        <v>-12.264007359547415</v>
      </c>
      <c r="AP161" s="959">
        <f t="shared" si="34"/>
        <v>-570</v>
      </c>
      <c r="AQ161" s="346">
        <f t="shared" si="10"/>
        <v>-509.70000000000005</v>
      </c>
      <c r="AR161" s="347">
        <f t="shared" si="25"/>
        <v>747.0023123282715</v>
      </c>
      <c r="AS161" s="348">
        <f t="shared" si="36"/>
        <v>-403.50307231196138</v>
      </c>
      <c r="AT161" s="349">
        <f t="shared" si="26"/>
        <v>391.23906495241397</v>
      </c>
      <c r="AU161" s="348">
        <f t="shared" si="35"/>
        <v>403.50307231196138</v>
      </c>
      <c r="AV161" s="350">
        <f t="shared" si="27"/>
        <v>-242.74694227156249</v>
      </c>
      <c r="AW161" s="350">
        <f t="shared" si="28"/>
        <v>-266.95305772843761</v>
      </c>
      <c r="AX161" s="351">
        <f t="shared" si="11"/>
        <v>-47.786389774677403</v>
      </c>
      <c r="AY161" s="351">
        <f t="shared" si="12"/>
        <v>-43.453332577296379</v>
      </c>
      <c r="AZ161" s="354">
        <f t="shared" si="29"/>
        <v>47.786389774677403</v>
      </c>
      <c r="BA161" s="354">
        <f t="shared" si="30"/>
        <v>43.453332577296379</v>
      </c>
      <c r="BC161" s="243"/>
      <c r="BE161" s="119"/>
      <c r="BF161" s="119"/>
      <c r="BG161" s="119"/>
      <c r="BH161" s="119"/>
    </row>
    <row r="162" spans="2:128" hidden="1" x14ac:dyDescent="0.2">
      <c r="B162" s="1037"/>
      <c r="D162" s="1038"/>
      <c r="E162" s="576"/>
      <c r="F162" s="576"/>
      <c r="G162" s="576"/>
      <c r="H162" s="576"/>
      <c r="I162" s="576"/>
      <c r="J162" s="576"/>
      <c r="K162" s="576"/>
      <c r="L162" s="576"/>
      <c r="M162" s="576"/>
      <c r="N162" s="576"/>
      <c r="O162" s="576"/>
      <c r="P162" s="576"/>
      <c r="Q162" s="576"/>
      <c r="R162" s="576"/>
      <c r="S162" s="576"/>
      <c r="T162" s="576"/>
      <c r="U162" s="576"/>
      <c r="V162" s="576"/>
      <c r="W162" s="576"/>
      <c r="X162" s="576"/>
      <c r="Y162" s="576"/>
      <c r="Z162" s="576"/>
      <c r="AA162" s="576"/>
      <c r="AB162" s="576"/>
      <c r="AC162" s="576"/>
      <c r="AD162" s="576"/>
      <c r="AE162" s="576"/>
      <c r="AF162" s="340"/>
      <c r="AG162" s="353"/>
      <c r="AH162" s="342"/>
      <c r="AI162" s="1039"/>
      <c r="AJ162" s="1040"/>
      <c r="AK162" s="578"/>
      <c r="AL162" s="1039"/>
      <c r="AM162" s="577"/>
      <c r="AN162" s="578"/>
      <c r="AO162" s="349"/>
      <c r="AP162" s="1041"/>
      <c r="AQ162" s="349"/>
      <c r="AR162" s="348"/>
      <c r="AS162" s="348"/>
      <c r="AT162" s="349"/>
      <c r="AU162" s="348"/>
      <c r="AV162" s="350"/>
      <c r="AW162" s="350"/>
      <c r="AX162" s="579"/>
      <c r="AY162" s="579"/>
      <c r="AZ162" s="580"/>
      <c r="BA162" s="580"/>
      <c r="BC162" s="243"/>
      <c r="BE162" s="119"/>
      <c r="BF162" s="119"/>
      <c r="BG162" s="119"/>
      <c r="BH162" s="119"/>
    </row>
    <row r="163" spans="2:128" ht="19" hidden="1" thickBot="1" x14ac:dyDescent="0.25">
      <c r="B163" s="1037"/>
      <c r="D163" s="1038"/>
      <c r="E163" s="576"/>
      <c r="F163" s="576"/>
      <c r="G163" s="576"/>
      <c r="H163" s="576"/>
      <c r="I163" s="576"/>
      <c r="J163" s="576"/>
      <c r="K163" s="576"/>
      <c r="L163" s="576"/>
      <c r="M163" s="576"/>
      <c r="N163" s="576"/>
      <c r="O163" s="576"/>
      <c r="P163" s="576"/>
      <c r="Q163" s="576"/>
      <c r="R163" s="576"/>
      <c r="S163" s="576"/>
      <c r="T163" s="576"/>
      <c r="U163" s="576"/>
      <c r="V163" s="576"/>
      <c r="W163" s="576"/>
      <c r="X163" s="576"/>
      <c r="Y163" s="576"/>
      <c r="Z163" s="576"/>
      <c r="AA163" s="576"/>
      <c r="AB163" s="576"/>
      <c r="AC163" s="576"/>
      <c r="AD163" s="576"/>
      <c r="AE163" s="576"/>
      <c r="AF163" s="340"/>
      <c r="AG163" s="353"/>
      <c r="AH163" s="342"/>
      <c r="AI163" s="1039"/>
      <c r="AJ163" s="1040"/>
      <c r="AK163" s="578"/>
      <c r="AL163" s="1039"/>
      <c r="AM163" s="577"/>
      <c r="AN163" s="578"/>
      <c r="AO163" s="349"/>
      <c r="AP163" s="1041"/>
      <c r="AQ163" s="349"/>
      <c r="AR163" s="348"/>
      <c r="AS163" s="348"/>
      <c r="AT163" s="349"/>
      <c r="AU163" s="348"/>
      <c r="AV163" s="350"/>
      <c r="AW163" s="350"/>
      <c r="AX163" s="579"/>
      <c r="AY163" s="579"/>
      <c r="AZ163" s="580"/>
      <c r="BA163" s="580"/>
      <c r="BC163" s="243"/>
      <c r="BE163" s="119"/>
      <c r="BF163" s="119"/>
      <c r="BG163" s="119"/>
      <c r="BH163" s="119"/>
    </row>
    <row r="164" spans="2:128" ht="19" thickBot="1" x14ac:dyDescent="0.25">
      <c r="U164" s="243"/>
      <c r="AG164" s="355" t="s">
        <v>71</v>
      </c>
      <c r="AH164" s="356">
        <f>MAX(AH150:AH161)</f>
        <v>0</v>
      </c>
      <c r="BC164" s="243"/>
      <c r="BE164" s="119"/>
      <c r="BF164" s="119"/>
      <c r="BG164" s="119"/>
      <c r="BH164" s="119"/>
    </row>
    <row r="165" spans="2:128" ht="26" hidden="1" thickBot="1" x14ac:dyDescent="0.3">
      <c r="U165" s="243"/>
      <c r="AG165" s="655"/>
      <c r="AH165" s="342"/>
      <c r="AK165" s="686" t="s">
        <v>143</v>
      </c>
      <c r="AL165" s="687"/>
      <c r="AM165" s="687"/>
      <c r="AN165" s="687"/>
      <c r="AO165" s="688"/>
      <c r="BC165" s="243"/>
      <c r="BE165" s="119"/>
      <c r="BF165" s="119"/>
      <c r="BG165" s="119"/>
      <c r="BH165" s="119"/>
    </row>
    <row r="166" spans="2:128" ht="49" hidden="1" thickBot="1" x14ac:dyDescent="0.3">
      <c r="U166" s="243"/>
      <c r="AG166" s="655"/>
      <c r="AH166" s="342"/>
      <c r="AK166" s="657" t="s">
        <v>129</v>
      </c>
      <c r="AL166" s="658" t="s">
        <v>130</v>
      </c>
      <c r="AM166" s="658" t="s">
        <v>131</v>
      </c>
      <c r="AN166" s="659" t="s">
        <v>135</v>
      </c>
      <c r="AO166" s="660"/>
      <c r="BC166" s="243"/>
      <c r="BE166" s="119"/>
      <c r="BF166" s="119"/>
      <c r="BG166" s="119"/>
      <c r="BH166" s="119"/>
    </row>
    <row r="167" spans="2:128" ht="41.25" hidden="1" customHeight="1" thickBot="1" x14ac:dyDescent="0.3">
      <c r="U167" s="243"/>
      <c r="AG167" s="655"/>
      <c r="AH167" s="342"/>
      <c r="AK167" s="661">
        <v>6.8623010000000004</v>
      </c>
      <c r="AL167" s="662">
        <f>+($AH$164*-1)-AK167</f>
        <v>-6.8623010000000004</v>
      </c>
      <c r="AM167" s="663">
        <f>COS(AL167*3.14159265358979/180)</f>
        <v>0.99283617366519983</v>
      </c>
      <c r="AN167" s="689">
        <f>+AM167*378.71303</f>
        <v>375.99999562235405</v>
      </c>
      <c r="AO167" s="664"/>
      <c r="BC167" s="243"/>
      <c r="BE167" s="119"/>
      <c r="BF167" s="119"/>
      <c r="BG167" s="119"/>
      <c r="BH167" s="119"/>
    </row>
    <row r="168" spans="2:128" ht="26" hidden="1" thickBot="1" x14ac:dyDescent="0.3">
      <c r="U168" s="243"/>
      <c r="AG168" s="655"/>
      <c r="AH168" s="342"/>
      <c r="AK168" s="685" t="s">
        <v>148</v>
      </c>
      <c r="AL168" s="690"/>
      <c r="AM168" s="690"/>
      <c r="AN168" s="690"/>
      <c r="AO168" s="691"/>
      <c r="BC168" s="243"/>
      <c r="BE168" s="119"/>
      <c r="BF168" s="119"/>
      <c r="BG168" s="119"/>
      <c r="BH168" s="119"/>
    </row>
    <row r="169" spans="2:128" ht="72" hidden="1" x14ac:dyDescent="0.25">
      <c r="B169" s="286"/>
      <c r="U169" s="243"/>
      <c r="AK169" s="692"/>
      <c r="AL169" s="658" t="s">
        <v>147</v>
      </c>
      <c r="AM169" s="658" t="s">
        <v>146</v>
      </c>
      <c r="AN169" s="659" t="s">
        <v>145</v>
      </c>
      <c r="AO169" s="961" t="s">
        <v>144</v>
      </c>
      <c r="BC169" s="243"/>
      <c r="BE169" s="119"/>
      <c r="BF169" s="119"/>
      <c r="BG169" s="119"/>
      <c r="BH169" s="119"/>
      <c r="BI169" s="119"/>
      <c r="BK169" s="119"/>
      <c r="BL169" s="119"/>
    </row>
    <row r="170" spans="2:128" ht="24" hidden="1" thickBot="1" x14ac:dyDescent="0.3">
      <c r="B170" s="286"/>
      <c r="AB170" s="318"/>
      <c r="AC170" s="318"/>
      <c r="AD170" s="318"/>
      <c r="AE170" s="318"/>
      <c r="AK170" s="693"/>
      <c r="AL170" s="665">
        <f>+AH164</f>
        <v>0</v>
      </c>
      <c r="AM170" s="666">
        <f>SIN(AL170*3.14159265358979/180)</f>
        <v>0</v>
      </c>
      <c r="AN170" s="667">
        <f>+AM170*((+B147*491.5)+119+119)</f>
        <v>0</v>
      </c>
      <c r="AO170" s="962">
        <f>+AN167+AN170</f>
        <v>375.99999562235405</v>
      </c>
      <c r="BE170" s="119"/>
      <c r="BF170" s="119"/>
      <c r="BG170" s="119"/>
      <c r="BH170" s="119"/>
      <c r="BI170" s="119"/>
      <c r="BJ170" s="119"/>
      <c r="BK170" s="119"/>
      <c r="BL170" s="119"/>
    </row>
    <row r="171" spans="2:128" hidden="1" x14ac:dyDescent="0.2">
      <c r="V171" s="170"/>
      <c r="W171" s="170"/>
      <c r="X171" s="170"/>
      <c r="Y171" s="170"/>
      <c r="Z171" s="170"/>
      <c r="AA171" s="170"/>
      <c r="AB171" s="170"/>
      <c r="AC171" s="170"/>
      <c r="AD171" s="170"/>
      <c r="AE171" s="170"/>
      <c r="AF171" s="170"/>
      <c r="AG171" s="170"/>
      <c r="AH171" s="170"/>
      <c r="AI171" s="170"/>
      <c r="AJ171" s="170"/>
      <c r="AK171" s="170"/>
      <c r="AL171" s="170"/>
      <c r="AM171" s="170"/>
      <c r="AN171" s="170"/>
      <c r="AO171" s="170"/>
      <c r="AP171" s="170"/>
      <c r="AQ171" s="170"/>
      <c r="AR171" s="170"/>
      <c r="AS171" s="170"/>
      <c r="AT171" s="170"/>
      <c r="AU171" s="170"/>
      <c r="AV171" s="170"/>
      <c r="AW171" s="170"/>
      <c r="AX171" s="170"/>
      <c r="AY171" s="170"/>
      <c r="AZ171" s="170"/>
      <c r="BA171" s="170"/>
      <c r="BB171" s="109"/>
      <c r="BE171" s="119"/>
      <c r="BF171" s="119"/>
      <c r="BG171" s="119"/>
      <c r="BH171" s="119"/>
      <c r="BI171" s="119"/>
      <c r="BJ171" s="119"/>
      <c r="BK171" s="119"/>
      <c r="BL171" s="119"/>
      <c r="DE171" s="267"/>
      <c r="DF171" s="267"/>
      <c r="DG171" s="267"/>
      <c r="DH171" s="267"/>
      <c r="DI171" s="267"/>
      <c r="DJ171" s="267"/>
      <c r="DK171" s="1109"/>
      <c r="DL171" s="1109"/>
      <c r="DM171" s="1109"/>
      <c r="DN171" s="109"/>
    </row>
    <row r="172" spans="2:128" ht="19" hidden="1" thickBot="1" x14ac:dyDescent="0.25">
      <c r="V172" s="170"/>
      <c r="W172" s="170"/>
      <c r="X172" s="170"/>
      <c r="Y172" s="170"/>
      <c r="Z172" s="170"/>
      <c r="AA172" s="170"/>
      <c r="AB172" s="170"/>
      <c r="AC172" s="170"/>
      <c r="AD172" s="170"/>
      <c r="AE172" s="170"/>
      <c r="AF172" s="170"/>
      <c r="AG172" s="170"/>
      <c r="AH172" s="170"/>
      <c r="AI172" s="170"/>
      <c r="AJ172" s="170"/>
      <c r="AK172" s="170"/>
      <c r="AL172" s="170"/>
      <c r="AM172" s="170"/>
      <c r="AN172" s="170"/>
      <c r="AO172" s="170"/>
      <c r="AP172" s="170"/>
      <c r="AQ172" s="170"/>
      <c r="AR172" s="170"/>
      <c r="AS172" s="170"/>
      <c r="AT172" s="170"/>
      <c r="AU172" s="170"/>
      <c r="AV172" s="170"/>
      <c r="AW172" s="170"/>
      <c r="AX172" s="170"/>
      <c r="AY172" s="170"/>
      <c r="AZ172" s="170"/>
      <c r="BA172" s="170"/>
      <c r="BB172" s="109"/>
      <c r="BE172" s="119"/>
      <c r="BF172" s="119"/>
      <c r="BG172" s="119"/>
      <c r="BH172" s="119"/>
      <c r="BI172" s="119"/>
      <c r="BJ172" s="119"/>
      <c r="BK172" s="119"/>
      <c r="BL172" s="119"/>
      <c r="DK172" s="268"/>
      <c r="DX172" s="268"/>
    </row>
    <row r="173" spans="2:128" ht="64" thickBot="1" x14ac:dyDescent="0.25">
      <c r="B173" s="284" t="s">
        <v>228</v>
      </c>
      <c r="C173" s="357"/>
      <c r="D173" s="358"/>
      <c r="E173" s="26"/>
      <c r="F173" s="26"/>
      <c r="G173" s="26"/>
      <c r="H173" s="359"/>
      <c r="I173" s="359"/>
      <c r="J173" s="359"/>
      <c r="K173" s="359"/>
      <c r="L173" s="359"/>
      <c r="M173" s="359"/>
      <c r="N173" s="359"/>
      <c r="O173" s="359"/>
      <c r="P173" s="359"/>
      <c r="Q173" s="359"/>
      <c r="R173" s="359"/>
      <c r="S173" s="360" t="s">
        <v>239</v>
      </c>
      <c r="T173" s="360">
        <f>SUM(V177:V202)/B174</f>
        <v>213.34350003963542</v>
      </c>
      <c r="U173" s="195"/>
      <c r="V173" s="170"/>
      <c r="W173" s="170"/>
      <c r="X173" s="170"/>
      <c r="Y173" s="170"/>
      <c r="Z173" s="170"/>
      <c r="AA173" s="170"/>
      <c r="AB173" s="170"/>
      <c r="AC173" s="170"/>
      <c r="AD173" s="170"/>
      <c r="AE173" s="170"/>
      <c r="AF173" s="170"/>
      <c r="AG173" s="170"/>
      <c r="AH173" s="170"/>
      <c r="AI173" s="170"/>
      <c r="AJ173" s="170"/>
      <c r="AK173" s="170"/>
      <c r="AL173" s="170"/>
      <c r="AM173" s="170"/>
      <c r="AN173" s="170"/>
      <c r="AO173" s="170"/>
      <c r="AP173" s="170"/>
      <c r="AQ173" s="170"/>
      <c r="AR173" s="170"/>
      <c r="AS173" s="170"/>
      <c r="AT173" s="170"/>
      <c r="AU173" s="170"/>
      <c r="AV173" s="170"/>
      <c r="AW173" s="170"/>
      <c r="AX173" s="170"/>
      <c r="AY173" s="170"/>
      <c r="AZ173" s="170"/>
      <c r="BA173" s="170"/>
      <c r="BB173" s="109"/>
      <c r="BC173" s="361"/>
      <c r="BD173" s="361"/>
      <c r="BE173" s="119"/>
      <c r="BF173" s="119"/>
      <c r="BG173" s="119"/>
      <c r="BH173" s="119"/>
      <c r="BI173" s="119"/>
      <c r="BJ173" s="119"/>
      <c r="BK173" s="119"/>
      <c r="BL173" s="119"/>
      <c r="DE173" s="269"/>
      <c r="DF173" s="269"/>
      <c r="DG173" s="269"/>
      <c r="DH173" s="269"/>
      <c r="DI173" s="269"/>
      <c r="DJ173" s="269"/>
      <c r="DK173" s="1110"/>
      <c r="DL173" s="1110"/>
      <c r="DW173" s="1104"/>
      <c r="DX173" s="1104"/>
    </row>
    <row r="174" spans="2:128" ht="57" thickBot="1" x14ac:dyDescent="0.3">
      <c r="B174" s="18">
        <v>1</v>
      </c>
      <c r="C174" s="199"/>
      <c r="D174" s="362" t="s">
        <v>214</v>
      </c>
      <c r="E174" s="277"/>
      <c r="F174" s="277"/>
      <c r="G174" s="277"/>
      <c r="H174" s="902" t="s">
        <v>227</v>
      </c>
      <c r="I174" s="902" t="s">
        <v>216</v>
      </c>
      <c r="J174" s="363"/>
      <c r="K174" s="363"/>
      <c r="L174" s="363"/>
      <c r="M174" s="363"/>
      <c r="N174" s="363"/>
      <c r="O174" s="363"/>
      <c r="P174" s="363"/>
      <c r="Q174" s="363"/>
      <c r="R174" s="363"/>
      <c r="S174" s="364"/>
      <c r="T174" s="365"/>
      <c r="U174" s="304"/>
      <c r="V174" s="366"/>
      <c r="W174" s="366"/>
      <c r="X174" s="366"/>
      <c r="Y174" s="366"/>
      <c r="Z174" s="366"/>
      <c r="AA174" s="366"/>
      <c r="AB174" s="366"/>
      <c r="AC174" s="366"/>
      <c r="AD174" s="366"/>
      <c r="AE174" s="366"/>
      <c r="AF174" s="366"/>
      <c r="AG174" s="366"/>
      <c r="AH174" s="366"/>
      <c r="AI174" s="366"/>
      <c r="AJ174" s="366"/>
      <c r="AK174" s="366"/>
      <c r="AL174" s="366"/>
      <c r="AM174" s="366"/>
      <c r="AN174" s="366"/>
      <c r="AO174" s="366"/>
      <c r="AP174" s="366"/>
      <c r="AQ174" s="366"/>
      <c r="AR174" s="366"/>
      <c r="AS174" s="366"/>
      <c r="AT174" s="366"/>
      <c r="AU174" s="366"/>
      <c r="AV174" s="366"/>
      <c r="AW174" s="366"/>
      <c r="AX174" s="366"/>
      <c r="AY174" s="366"/>
      <c r="AZ174" s="1115" t="s">
        <v>46</v>
      </c>
      <c r="BA174" s="1116"/>
      <c r="BB174" s="201"/>
      <c r="BC174" s="127"/>
      <c r="BD174" s="127"/>
      <c r="BE174" s="119"/>
      <c r="BF174" s="119"/>
      <c r="BG174" s="119"/>
      <c r="BH174" s="119"/>
      <c r="BI174" s="119"/>
      <c r="BJ174" s="119"/>
      <c r="BK174" s="119"/>
      <c r="BL174" s="119"/>
    </row>
    <row r="175" spans="2:128" ht="54.75" hidden="1" customHeight="1" thickBot="1" x14ac:dyDescent="0.3">
      <c r="C175" s="319"/>
      <c r="D175" s="287" t="s">
        <v>13</v>
      </c>
      <c r="H175" s="903" t="s">
        <v>4</v>
      </c>
      <c r="I175" s="904" t="s">
        <v>1</v>
      </c>
      <c r="J175" s="359" t="s">
        <v>0</v>
      </c>
      <c r="K175" s="359" t="s">
        <v>2</v>
      </c>
      <c r="L175" s="359" t="s">
        <v>3</v>
      </c>
      <c r="M175" s="359" t="s">
        <v>8</v>
      </c>
      <c r="N175" s="359" t="s">
        <v>5</v>
      </c>
      <c r="O175" s="359" t="s">
        <v>6</v>
      </c>
      <c r="P175" s="359" t="s">
        <v>7</v>
      </c>
      <c r="Q175" s="359" t="s">
        <v>9</v>
      </c>
      <c r="R175" s="367" t="s">
        <v>10</v>
      </c>
      <c r="S175" s="359" t="s">
        <v>11</v>
      </c>
      <c r="T175" s="368" t="s">
        <v>12</v>
      </c>
      <c r="V175" s="321"/>
      <c r="W175" s="323"/>
      <c r="X175" s="323"/>
      <c r="Y175" s="323"/>
      <c r="Z175" s="323"/>
      <c r="AA175" s="323"/>
      <c r="AB175" s="323" t="s">
        <v>248</v>
      </c>
      <c r="AC175" s="323"/>
      <c r="AD175" s="323"/>
      <c r="AE175" s="323"/>
      <c r="AF175" s="323"/>
      <c r="AG175" s="323"/>
      <c r="AH175" s="323"/>
      <c r="AI175" s="973" t="s">
        <v>217</v>
      </c>
      <c r="AJ175" s="974"/>
      <c r="AK175" s="973" t="s">
        <v>225</v>
      </c>
      <c r="AL175" s="902" t="s">
        <v>219</v>
      </c>
      <c r="AM175" s="974"/>
      <c r="AN175" s="902" t="s">
        <v>226</v>
      </c>
      <c r="AO175" s="974"/>
      <c r="AP175" s="973" t="s">
        <v>224</v>
      </c>
      <c r="AQ175" s="323"/>
      <c r="AR175" s="323"/>
      <c r="AS175" s="323"/>
      <c r="AT175" s="323"/>
      <c r="AU175" s="323"/>
      <c r="AV175" s="323"/>
      <c r="AW175" s="323"/>
      <c r="AX175" s="318"/>
      <c r="AY175" s="323"/>
      <c r="AZ175" s="323"/>
      <c r="BA175" s="323"/>
      <c r="BB175" s="212"/>
      <c r="BC175" s="209"/>
      <c r="BE175" s="119"/>
      <c r="BF175" s="119"/>
      <c r="BG175" s="119"/>
      <c r="BH175" s="119"/>
      <c r="BI175" s="119"/>
      <c r="BJ175" s="119"/>
      <c r="BK175" s="119"/>
      <c r="BL175" s="119"/>
    </row>
    <row r="176" spans="2:128" ht="49.5" customHeight="1" thickBot="1" x14ac:dyDescent="0.25">
      <c r="B176" s="324"/>
      <c r="C176" s="325"/>
      <c r="D176" s="285" t="s">
        <v>20</v>
      </c>
      <c r="E176" s="277"/>
      <c r="F176" s="369"/>
      <c r="G176" s="221"/>
      <c r="H176" s="370"/>
      <c r="I176" s="371"/>
      <c r="R176" s="367"/>
      <c r="T176" s="372"/>
      <c r="V176" s="321"/>
      <c r="W176" s="323"/>
      <c r="X176" s="323"/>
      <c r="Y176" s="323"/>
      <c r="Z176" s="323"/>
      <c r="AA176" s="323"/>
      <c r="AC176" s="323"/>
      <c r="AD176" s="323"/>
      <c r="AE176" s="323"/>
      <c r="AF176" s="965" t="s">
        <v>36</v>
      </c>
      <c r="AG176" s="970" t="s">
        <v>29</v>
      </c>
      <c r="AH176" s="328"/>
      <c r="AI176" s="905" t="s">
        <v>218</v>
      </c>
      <c r="AJ176" s="329" t="s">
        <v>30</v>
      </c>
      <c r="AK176" s="907" t="s">
        <v>31</v>
      </c>
      <c r="AL176" s="905" t="s">
        <v>220</v>
      </c>
      <c r="AM176" s="330" t="s">
        <v>32</v>
      </c>
      <c r="AN176" s="905" t="s">
        <v>33</v>
      </c>
      <c r="AO176" s="330"/>
      <c r="AP176" s="967" t="s">
        <v>34</v>
      </c>
      <c r="AQ176" s="323"/>
      <c r="AR176" s="323" t="s">
        <v>35</v>
      </c>
      <c r="AS176" s="323" t="s">
        <v>37</v>
      </c>
      <c r="AT176" s="323"/>
      <c r="AU176" s="323" t="s">
        <v>38</v>
      </c>
      <c r="AV176" s="332" t="s">
        <v>39</v>
      </c>
      <c r="AW176" s="332" t="s">
        <v>40</v>
      </c>
      <c r="AX176" s="333" t="s">
        <v>21</v>
      </c>
      <c r="AY176" s="333" t="s">
        <v>22</v>
      </c>
      <c r="AZ176" s="334" t="s">
        <v>21</v>
      </c>
      <c r="BA176" s="334" t="s">
        <v>22</v>
      </c>
      <c r="BC176" s="209"/>
      <c r="BE176" s="119"/>
      <c r="BF176" s="119"/>
      <c r="BG176" s="119"/>
      <c r="BH176" s="119"/>
      <c r="BI176" s="119"/>
      <c r="BJ176" s="119"/>
      <c r="BK176" s="119"/>
      <c r="BL176" s="119"/>
    </row>
    <row r="177" spans="1:133" ht="19" thickBot="1" x14ac:dyDescent="0.25">
      <c r="B177" s="232">
        <v>1</v>
      </c>
      <c r="C177" s="233">
        <f>+AH164+D177</f>
        <v>1</v>
      </c>
      <c r="D177" s="16">
        <v>1</v>
      </c>
      <c r="E177" s="234" t="s">
        <v>106</v>
      </c>
      <c r="F177" s="235"/>
      <c r="G177" s="235">
        <f>+D177</f>
        <v>1</v>
      </c>
      <c r="H177" s="888">
        <v>251.073172</v>
      </c>
      <c r="I177" s="889">
        <v>65.636175100000003</v>
      </c>
      <c r="J177" s="374">
        <f>+I177-C177</f>
        <v>64.636175100000003</v>
      </c>
      <c r="K177" s="374">
        <f>+J177/2</f>
        <v>32.318087550000001</v>
      </c>
      <c r="L177" s="374">
        <f t="shared" ref="L177:L202" si="37">SIN(K177*3.14159265358979/180)</f>
        <v>0.53461916118589337</v>
      </c>
      <c r="M177" s="374">
        <f t="shared" ref="M177:M202" si="38">+L177*H177</f>
        <v>134.22852861092153</v>
      </c>
      <c r="N177" s="374">
        <f t="shared" ref="N177:N202" si="39">+M177*2</f>
        <v>268.45705722184306</v>
      </c>
      <c r="O177" s="374">
        <f>+C177/2</f>
        <v>0.5</v>
      </c>
      <c r="P177" s="374">
        <f t="shared" ref="P177:P202" si="40">SIN(O177*3.14159265358979/180)</f>
        <v>8.726535498373926E-3</v>
      </c>
      <c r="Q177" s="374">
        <f t="shared" ref="Q177:Q202" si="41">+P177*N177</f>
        <v>2.3427000396354138</v>
      </c>
      <c r="R177" s="963">
        <v>211.0008</v>
      </c>
      <c r="S177" s="374">
        <f>+R177+Q177</f>
        <v>213.34350003963542</v>
      </c>
      <c r="T177" s="375">
        <f t="shared" ref="T177:T202" si="42">+S177</f>
        <v>213.34350003963542</v>
      </c>
      <c r="V177" s="929">
        <f t="shared" ref="V177:V202" si="43">IF(B177&lt;($B$174+1),T177,0)</f>
        <v>213.34350003963542</v>
      </c>
      <c r="W177" s="340"/>
      <c r="X177" s="340"/>
      <c r="Y177" s="340"/>
      <c r="Z177" s="340"/>
      <c r="AA177" s="340"/>
      <c r="AB177" s="235" t="str">
        <f>IF(AY177&lt;0,"use the locking pin"," ")</f>
        <v xml:space="preserve"> </v>
      </c>
      <c r="AC177" s="377"/>
      <c r="AD177" s="377"/>
      <c r="AE177" s="377"/>
      <c r="AF177" s="966">
        <f>SUM(V177:V202)/($B$174)</f>
        <v>213.34350003963542</v>
      </c>
      <c r="AG177" s="971">
        <f>C177</f>
        <v>1</v>
      </c>
      <c r="AH177" s="353"/>
      <c r="AI177" s="944">
        <f>75.4990086-AG177</f>
        <v>74.499008599999996</v>
      </c>
      <c r="AJ177" s="575">
        <f t="shared" ref="AJ177:AJ202" si="44">SIN(AI177*3.14159265358979/180)</f>
        <v>0.96362582898684701</v>
      </c>
      <c r="AK177" s="944">
        <f>+AJ177*290.642868</f>
        <v>280.07097461561477</v>
      </c>
      <c r="AL177" s="944">
        <f>57.1819124+AG177</f>
        <v>58.181912400000002</v>
      </c>
      <c r="AM177" s="968">
        <f>SIN(AL177*3.14159265358979/180)</f>
        <v>0.84972629692714396</v>
      </c>
      <c r="AN177" s="944">
        <f>+AM177*251.073172</f>
        <v>213.34347670131189</v>
      </c>
      <c r="AO177" s="969"/>
      <c r="AP177" s="342">
        <f>$C$13*B174</f>
        <v>29.3</v>
      </c>
      <c r="AQ177" s="347"/>
      <c r="AR177" s="347">
        <f>+AN177+AK177</f>
        <v>493.41445131692666</v>
      </c>
      <c r="AS177" s="348">
        <f>+V177-AN177</f>
        <v>2.3338323529742411E-5</v>
      </c>
      <c r="AT177" s="348"/>
      <c r="AU177" s="348">
        <f>+AF177-AS177</f>
        <v>213.34347670131189</v>
      </c>
      <c r="AV177" s="350">
        <f>+((AR177-AU177)/AR177)*AP177</f>
        <v>16.631210404023289</v>
      </c>
      <c r="AW177" s="350">
        <f>+(AU177/AR177)*AP177</f>
        <v>12.668789595976712</v>
      </c>
      <c r="AX177" s="351">
        <f>2*$C$18/AV177</f>
        <v>697.4838101497304</v>
      </c>
      <c r="AY177" s="351">
        <f>$D$18/AW177</f>
        <v>789.34139084413778</v>
      </c>
      <c r="AZ177" s="241">
        <f>ABS(AX177)</f>
        <v>697.4838101497304</v>
      </c>
      <c r="BA177" s="242">
        <f>ABS(AY177)</f>
        <v>789.34139084413778</v>
      </c>
      <c r="BB177" s="74"/>
      <c r="BC177" s="380"/>
      <c r="BE177" s="119"/>
      <c r="BF177" s="119"/>
      <c r="BG177" s="119"/>
      <c r="BH177" s="119"/>
      <c r="BI177" s="119"/>
      <c r="BJ177" s="119"/>
      <c r="BK177" s="119"/>
      <c r="BL177" s="119"/>
    </row>
    <row r="178" spans="1:133" ht="19" thickBot="1" x14ac:dyDescent="0.25">
      <c r="B178" s="244">
        <v>2</v>
      </c>
      <c r="C178" s="245"/>
      <c r="D178" s="16">
        <v>1</v>
      </c>
      <c r="E178" s="234" t="s">
        <v>215</v>
      </c>
      <c r="F178" s="235"/>
      <c r="G178" s="235">
        <f t="shared" ref="G178:G202" si="45">+D178+BB178</f>
        <v>1</v>
      </c>
      <c r="H178" s="888">
        <v>251.073172</v>
      </c>
      <c r="I178" s="889">
        <v>65.636175100000003</v>
      </c>
      <c r="J178" s="374">
        <f t="shared" ref="J178:J202" si="46">+I178-D178</f>
        <v>64.636175100000003</v>
      </c>
      <c r="K178" s="374">
        <f t="shared" ref="K178:K202" si="47">+J178/2</f>
        <v>32.318087550000001</v>
      </c>
      <c r="L178" s="374">
        <f t="shared" si="37"/>
        <v>0.53461916118589337</v>
      </c>
      <c r="M178" s="374">
        <f t="shared" si="38"/>
        <v>134.22852861092153</v>
      </c>
      <c r="N178" s="374">
        <f t="shared" si="39"/>
        <v>268.45705722184306</v>
      </c>
      <c r="O178" s="374">
        <f>+C177+(D178/2)</f>
        <v>1.5</v>
      </c>
      <c r="P178" s="374">
        <f t="shared" si="40"/>
        <v>2.6176948307873125E-2</v>
      </c>
      <c r="Q178" s="374">
        <f t="shared" si="41"/>
        <v>7.0273865097799231</v>
      </c>
      <c r="R178" s="374">
        <f t="shared" ref="R178:R202" si="48">+T177</f>
        <v>213.34350003963542</v>
      </c>
      <c r="S178" s="374">
        <f>+R178+Q178</f>
        <v>220.37088654941533</v>
      </c>
      <c r="T178" s="375">
        <f t="shared" si="42"/>
        <v>220.37088654941533</v>
      </c>
      <c r="V178" s="929">
        <f t="shared" si="43"/>
        <v>0</v>
      </c>
      <c r="W178" s="340"/>
      <c r="X178" s="340"/>
      <c r="Y178" s="340"/>
      <c r="Z178" s="340"/>
      <c r="AA178" s="340"/>
      <c r="AB178" s="247" t="e">
        <f t="shared" ref="AB178:AB202" si="49">IF(AY178&lt;0,"use the locking pin"," ")</f>
        <v>#DIV/0!</v>
      </c>
      <c r="AC178" s="377"/>
      <c r="AD178" s="377"/>
      <c r="AE178" s="377"/>
      <c r="AF178" s="966" t="e">
        <f>SUM(V178:V202)/($B$174-B177)</f>
        <v>#DIV/0!</v>
      </c>
      <c r="AG178" s="971">
        <f>SUM(D178)+$C$177</f>
        <v>2</v>
      </c>
      <c r="AH178" s="353"/>
      <c r="AI178" s="944">
        <f t="shared" ref="AI178:AI202" si="50">75.4990086-AG178</f>
        <v>73.499008599999996</v>
      </c>
      <c r="AJ178" s="575">
        <f t="shared" si="44"/>
        <v>0.95881482035199095</v>
      </c>
      <c r="AK178" s="944">
        <f t="shared" ref="AK178:AK202" si="51">+AJ178*290.642868</f>
        <v>278.67268926800745</v>
      </c>
      <c r="AL178" s="944">
        <f t="shared" ref="AL178:AL202" si="52">57.1819124+AG178</f>
        <v>59.181912400000002</v>
      </c>
      <c r="AM178" s="968">
        <f t="shared" ref="AM178:AM202" si="53">SIN(AL178*3.14159265358979/180)</f>
        <v>0.85879820825488717</v>
      </c>
      <c r="AN178" s="944">
        <f t="shared" ref="AN178:AN202" si="54">+AM178*251.073172</f>
        <v>215.62119025447112</v>
      </c>
      <c r="AO178" s="969"/>
      <c r="AP178" s="251">
        <f t="shared" ref="AP178:AP202" si="55">$C$13*($B$174-B177)</f>
        <v>0</v>
      </c>
      <c r="AQ178" s="347"/>
      <c r="AR178" s="347">
        <f t="shared" ref="AR178:AR202" si="56">+AN178+AK178</f>
        <v>494.29387952247856</v>
      </c>
      <c r="AS178" s="348">
        <f>+V178-AN178</f>
        <v>-215.62119025447112</v>
      </c>
      <c r="AT178" s="348"/>
      <c r="AU178" s="348" t="e">
        <f>+AF178-AS178</f>
        <v>#DIV/0!</v>
      </c>
      <c r="AV178" s="350" t="e">
        <f t="shared" ref="AV178:AV202" si="57">+((AR178-AU178)/AR178)*AP178</f>
        <v>#DIV/0!</v>
      </c>
      <c r="AW178" s="350" t="e">
        <f t="shared" ref="AW178:AW202" si="58">+(AU178/AR178)*AP178</f>
        <v>#DIV/0!</v>
      </c>
      <c r="AX178" s="351" t="e">
        <f t="shared" ref="AX178:AX202" si="59">2*$C$18/AV178</f>
        <v>#DIV/0!</v>
      </c>
      <c r="AY178" s="351" t="e">
        <f t="shared" ref="AY178:AY202" si="60">$D$18/AW178</f>
        <v>#DIV/0!</v>
      </c>
      <c r="AZ178" s="241" t="e">
        <f t="shared" ref="AZ178:BA197" si="61">ABS(AX178)</f>
        <v>#DIV/0!</v>
      </c>
      <c r="BA178" s="256" t="e">
        <f t="shared" si="61"/>
        <v>#DIV/0!</v>
      </c>
      <c r="BE178" s="119"/>
      <c r="BF178" s="119"/>
      <c r="BG178" s="119"/>
      <c r="BH178" s="119"/>
      <c r="BI178" s="119"/>
      <c r="BJ178" s="119"/>
      <c r="BK178" s="119"/>
      <c r="BL178" s="119"/>
    </row>
    <row r="179" spans="1:133" ht="19" thickBot="1" x14ac:dyDescent="0.25">
      <c r="B179" s="244">
        <v>3</v>
      </c>
      <c r="C179" s="245"/>
      <c r="D179" s="16">
        <v>1</v>
      </c>
      <c r="E179" s="234" t="s">
        <v>215</v>
      </c>
      <c r="F179" s="235"/>
      <c r="G179" s="235">
        <f t="shared" si="45"/>
        <v>1</v>
      </c>
      <c r="H179" s="888">
        <v>251.073172</v>
      </c>
      <c r="I179" s="889">
        <v>65.636175100000003</v>
      </c>
      <c r="J179" s="374">
        <f t="shared" si="46"/>
        <v>64.636175100000003</v>
      </c>
      <c r="K179" s="374">
        <f t="shared" si="47"/>
        <v>32.318087550000001</v>
      </c>
      <c r="L179" s="374">
        <f t="shared" si="37"/>
        <v>0.53461916118589337</v>
      </c>
      <c r="M179" s="374">
        <f t="shared" si="38"/>
        <v>134.22852861092153</v>
      </c>
      <c r="N179" s="374">
        <f t="shared" si="39"/>
        <v>268.45705722184306</v>
      </c>
      <c r="O179" s="374">
        <f>+C177+D178+(D179/2)</f>
        <v>2.5</v>
      </c>
      <c r="P179" s="374">
        <f t="shared" si="40"/>
        <v>4.3619387365335958E-2</v>
      </c>
      <c r="Q179" s="374">
        <f t="shared" si="41"/>
        <v>11.709932369917734</v>
      </c>
      <c r="R179" s="374">
        <f t="shared" si="48"/>
        <v>220.37088654941533</v>
      </c>
      <c r="S179" s="374">
        <f t="shared" ref="S179:S202" si="62">+S178+Q179</f>
        <v>232.08081891933307</v>
      </c>
      <c r="T179" s="375">
        <f t="shared" si="42"/>
        <v>232.08081891933307</v>
      </c>
      <c r="V179" s="929">
        <f t="shared" si="43"/>
        <v>0</v>
      </c>
      <c r="W179" s="340"/>
      <c r="X179" s="340"/>
      <c r="Y179" s="340"/>
      <c r="Z179" s="340"/>
      <c r="AA179" s="340"/>
      <c r="AB179" s="257" t="str">
        <f t="shared" si="49"/>
        <v>use the locking pin</v>
      </c>
      <c r="AC179" s="377"/>
      <c r="AD179" s="377"/>
      <c r="AE179" s="377"/>
      <c r="AF179" s="966">
        <f>SUM(V179:V202)/($B$174-B178)</f>
        <v>0</v>
      </c>
      <c r="AG179" s="971">
        <f>SUM(D178:D179)+$C$177</f>
        <v>3</v>
      </c>
      <c r="AH179" s="353"/>
      <c r="AI179" s="944">
        <f t="shared" si="50"/>
        <v>72.499008599999996</v>
      </c>
      <c r="AJ179" s="575">
        <f t="shared" si="44"/>
        <v>0.95371174743460796</v>
      </c>
      <c r="AK179" s="944">
        <f t="shared" si="51"/>
        <v>277.18951751968609</v>
      </c>
      <c r="AL179" s="944">
        <f t="shared" si="52"/>
        <v>60.181912400000002</v>
      </c>
      <c r="AM179" s="968">
        <f t="shared" si="53"/>
        <v>0.86760852132903066</v>
      </c>
      <c r="AN179" s="944">
        <f t="shared" si="54"/>
        <v>217.83322350430939</v>
      </c>
      <c r="AO179" s="969"/>
      <c r="AP179" s="251">
        <f t="shared" si="55"/>
        <v>-29.3</v>
      </c>
      <c r="AQ179" s="347"/>
      <c r="AR179" s="347">
        <f t="shared" si="56"/>
        <v>495.02274102399548</v>
      </c>
      <c r="AS179" s="348">
        <f>+V179-AN179</f>
        <v>-217.83322350430939</v>
      </c>
      <c r="AT179" s="348"/>
      <c r="AU179" s="348">
        <f>+AF179-AS179</f>
        <v>217.83322350430939</v>
      </c>
      <c r="AV179" s="350">
        <f t="shared" si="57"/>
        <v>-16.406625777487502</v>
      </c>
      <c r="AW179" s="350">
        <f t="shared" si="58"/>
        <v>-12.893374222512502</v>
      </c>
      <c r="AX179" s="351">
        <f t="shared" si="59"/>
        <v>-707.03142482332009</v>
      </c>
      <c r="AY179" s="351">
        <f t="shared" si="60"/>
        <v>-775.5921628753689</v>
      </c>
      <c r="AZ179" s="241">
        <f t="shared" si="61"/>
        <v>707.03142482332009</v>
      </c>
      <c r="BA179" s="242">
        <f t="shared" si="61"/>
        <v>775.5921628753689</v>
      </c>
      <c r="BE179" s="119"/>
      <c r="BF179" s="119"/>
      <c r="BG179" s="119"/>
      <c r="BH179" s="119"/>
      <c r="BI179" s="119"/>
      <c r="BJ179" s="119"/>
      <c r="BK179" s="119"/>
      <c r="BL179" s="119"/>
    </row>
    <row r="180" spans="1:133" ht="19" thickBot="1" x14ac:dyDescent="0.25">
      <c r="B180" s="244">
        <v>4</v>
      </c>
      <c r="C180" s="245"/>
      <c r="D180" s="16">
        <v>1</v>
      </c>
      <c r="E180" s="234" t="s">
        <v>215</v>
      </c>
      <c r="F180" s="235"/>
      <c r="G180" s="235">
        <f t="shared" si="45"/>
        <v>1</v>
      </c>
      <c r="H180" s="888">
        <v>251.073172</v>
      </c>
      <c r="I180" s="889">
        <v>65.636175100000003</v>
      </c>
      <c r="J180" s="374">
        <f t="shared" si="46"/>
        <v>64.636175100000003</v>
      </c>
      <c r="K180" s="374">
        <f t="shared" si="47"/>
        <v>32.318087550000001</v>
      </c>
      <c r="L180" s="374">
        <f t="shared" si="37"/>
        <v>0.53461916118589337</v>
      </c>
      <c r="M180" s="374">
        <f t="shared" si="38"/>
        <v>134.22852861092153</v>
      </c>
      <c r="N180" s="374">
        <f t="shared" si="39"/>
        <v>268.45705722184306</v>
      </c>
      <c r="O180" s="374">
        <f>+C177+D178+D179+(D180/2)</f>
        <v>3.5</v>
      </c>
      <c r="P180" s="374">
        <f t="shared" si="40"/>
        <v>6.1048539534856811E-2</v>
      </c>
      <c r="Q180" s="374">
        <f t="shared" si="41"/>
        <v>16.388911271219001</v>
      </c>
      <c r="R180" s="374">
        <f t="shared" si="48"/>
        <v>232.08081891933307</v>
      </c>
      <c r="S180" s="374">
        <f t="shared" si="62"/>
        <v>248.46973019055207</v>
      </c>
      <c r="T180" s="375">
        <f t="shared" si="42"/>
        <v>248.46973019055207</v>
      </c>
      <c r="V180" s="929">
        <f t="shared" si="43"/>
        <v>0</v>
      </c>
      <c r="W180" s="340"/>
      <c r="X180" s="340"/>
      <c r="Y180" s="340"/>
      <c r="Z180" s="340"/>
      <c r="AA180" s="340"/>
      <c r="AB180" s="257" t="str">
        <f t="shared" si="49"/>
        <v>use the locking pin</v>
      </c>
      <c r="AC180" s="377"/>
      <c r="AD180" s="377"/>
      <c r="AE180" s="377"/>
      <c r="AF180" s="966">
        <f>SUM(V180:V202)/($B$174-B179)</f>
        <v>0</v>
      </c>
      <c r="AG180" s="971">
        <f>SUM(D178:D180)+$C$177</f>
        <v>4</v>
      </c>
      <c r="AH180" s="353"/>
      <c r="AI180" s="944">
        <f t="shared" si="50"/>
        <v>71.499008599999996</v>
      </c>
      <c r="AJ180" s="575">
        <f t="shared" si="44"/>
        <v>0.94831816468014318</v>
      </c>
      <c r="AK180" s="944">
        <f t="shared" si="51"/>
        <v>275.62191115913316</v>
      </c>
      <c r="AL180" s="944">
        <f t="shared" si="52"/>
        <v>61.181912400000002</v>
      </c>
      <c r="AM180" s="968">
        <f t="shared" si="53"/>
        <v>0.87615455244286489</v>
      </c>
      <c r="AN180" s="944">
        <f t="shared" si="54"/>
        <v>219.97890264407044</v>
      </c>
      <c r="AO180" s="969"/>
      <c r="AP180" s="251">
        <f t="shared" si="55"/>
        <v>-58.6</v>
      </c>
      <c r="AQ180" s="347"/>
      <c r="AR180" s="347">
        <f t="shared" si="56"/>
        <v>495.60081380320361</v>
      </c>
      <c r="AS180" s="348">
        <f>+V180-AN180</f>
        <v>-219.97890264407044</v>
      </c>
      <c r="AT180" s="348"/>
      <c r="AU180" s="348">
        <f t="shared" ref="AU180:AU202" si="63">+AF180-AS180</f>
        <v>219.97890264407044</v>
      </c>
      <c r="AV180" s="350">
        <f t="shared" si="57"/>
        <v>-32.589623632738267</v>
      </c>
      <c r="AW180" s="350">
        <f t="shared" si="58"/>
        <v>-26.010376367261731</v>
      </c>
      <c r="AX180" s="351">
        <f t="shared" si="59"/>
        <v>-355.94151472025874</v>
      </c>
      <c r="AY180" s="351">
        <f t="shared" si="60"/>
        <v>-384.46194929292216</v>
      </c>
      <c r="AZ180" s="241">
        <f t="shared" si="61"/>
        <v>355.94151472025874</v>
      </c>
      <c r="BA180" s="242">
        <f t="shared" si="61"/>
        <v>384.46194929292216</v>
      </c>
      <c r="BE180" s="119"/>
      <c r="BF180" s="119"/>
      <c r="BG180" s="119"/>
      <c r="BH180" s="119"/>
      <c r="BI180" s="119"/>
      <c r="BJ180" s="119"/>
    </row>
    <row r="181" spans="1:133" ht="19" thickBot="1" x14ac:dyDescent="0.25">
      <c r="B181" s="244">
        <v>5</v>
      </c>
      <c r="C181" s="245"/>
      <c r="D181" s="16">
        <v>1</v>
      </c>
      <c r="E181" s="234" t="s">
        <v>215</v>
      </c>
      <c r="F181" s="235"/>
      <c r="G181" s="235">
        <f t="shared" si="45"/>
        <v>1</v>
      </c>
      <c r="H181" s="888">
        <v>251.073172</v>
      </c>
      <c r="I181" s="889">
        <v>65.636175100000003</v>
      </c>
      <c r="J181" s="374">
        <f t="shared" si="46"/>
        <v>64.636175100000003</v>
      </c>
      <c r="K181" s="374">
        <f t="shared" si="47"/>
        <v>32.318087550000001</v>
      </c>
      <c r="L181" s="374">
        <f t="shared" si="37"/>
        <v>0.53461916118589337</v>
      </c>
      <c r="M181" s="374">
        <f t="shared" si="38"/>
        <v>134.22852861092153</v>
      </c>
      <c r="N181" s="374">
        <f t="shared" si="39"/>
        <v>268.45705722184306</v>
      </c>
      <c r="O181" s="374">
        <f>+C177+D178+D179+D180+(D181/2)</f>
        <v>4.5</v>
      </c>
      <c r="P181" s="374">
        <f t="shared" si="40"/>
        <v>7.845909572784486E-2</v>
      </c>
      <c r="Q181" s="374">
        <f t="shared" si="41"/>
        <v>21.062897951384109</v>
      </c>
      <c r="R181" s="374">
        <f t="shared" si="48"/>
        <v>248.46973019055207</v>
      </c>
      <c r="S181" s="374">
        <f t="shared" si="62"/>
        <v>269.53262814193619</v>
      </c>
      <c r="T181" s="375">
        <f t="shared" si="42"/>
        <v>269.53262814193619</v>
      </c>
      <c r="V181" s="929">
        <f t="shared" si="43"/>
        <v>0</v>
      </c>
      <c r="W181" s="340"/>
      <c r="X181" s="340"/>
      <c r="Y181" s="340"/>
      <c r="Z181" s="340"/>
      <c r="AA181" s="340"/>
      <c r="AB181" s="257" t="str">
        <f t="shared" si="49"/>
        <v>use the locking pin</v>
      </c>
      <c r="AC181" s="377"/>
      <c r="AD181" s="377"/>
      <c r="AE181" s="377"/>
      <c r="AF181" s="966">
        <f>SUM(V181:V202)/($B$174-B180)</f>
        <v>0</v>
      </c>
      <c r="AG181" s="971">
        <f>SUM(D178:D181)+$C$177</f>
        <v>5</v>
      </c>
      <c r="AH181" s="353"/>
      <c r="AI181" s="944">
        <f t="shared" si="50"/>
        <v>70.499008599999996</v>
      </c>
      <c r="AJ181" s="575">
        <f t="shared" si="44"/>
        <v>0.94263571502615251</v>
      </c>
      <c r="AK181" s="944">
        <f t="shared" si="51"/>
        <v>273.97034769443167</v>
      </c>
      <c r="AL181" s="944">
        <f t="shared" si="52"/>
        <v>62.181912400000002</v>
      </c>
      <c r="AM181" s="968">
        <f t="shared" si="53"/>
        <v>0.88443369839252528</v>
      </c>
      <c r="AN181" s="944">
        <f t="shared" si="54"/>
        <v>222.05757407910264</v>
      </c>
      <c r="AO181" s="969"/>
      <c r="AP181" s="251">
        <f t="shared" si="55"/>
        <v>-87.9</v>
      </c>
      <c r="AQ181" s="347"/>
      <c r="AR181" s="347">
        <f t="shared" si="56"/>
        <v>496.02792177353433</v>
      </c>
      <c r="AS181" s="348">
        <f t="shared" ref="AS181:AS202" si="64">+V181-AN181</f>
        <v>-222.05757407910264</v>
      </c>
      <c r="AT181" s="348"/>
      <c r="AU181" s="348">
        <f t="shared" si="63"/>
        <v>222.05757407910264</v>
      </c>
      <c r="AV181" s="350">
        <f t="shared" si="57"/>
        <v>-48.549673325316114</v>
      </c>
      <c r="AW181" s="350">
        <f t="shared" si="58"/>
        <v>-39.350326674683892</v>
      </c>
      <c r="AX181" s="351">
        <f t="shared" si="59"/>
        <v>-238.93054691165568</v>
      </c>
      <c r="AY181" s="351">
        <f t="shared" si="60"/>
        <v>-254.12749639086272</v>
      </c>
      <c r="AZ181" s="241">
        <f t="shared" si="61"/>
        <v>238.93054691165568</v>
      </c>
      <c r="BA181" s="242">
        <f t="shared" si="61"/>
        <v>254.12749639086272</v>
      </c>
      <c r="BC181" s="109"/>
      <c r="BD181" s="109"/>
      <c r="BE181" s="119"/>
      <c r="BF181" s="119"/>
      <c r="BG181" s="119"/>
      <c r="BH181" s="119"/>
      <c r="BI181" s="119"/>
      <c r="BJ181" s="119"/>
      <c r="BK181" s="195"/>
    </row>
    <row r="182" spans="1:133" ht="19" thickBot="1" x14ac:dyDescent="0.25">
      <c r="B182" s="244">
        <v>6</v>
      </c>
      <c r="C182" s="245"/>
      <c r="D182" s="16">
        <v>1</v>
      </c>
      <c r="E182" s="234" t="s">
        <v>215</v>
      </c>
      <c r="F182" s="235"/>
      <c r="G182" s="235">
        <f t="shared" si="45"/>
        <v>1</v>
      </c>
      <c r="H182" s="888">
        <v>251.073172</v>
      </c>
      <c r="I182" s="889">
        <v>65.636175100000003</v>
      </c>
      <c r="J182" s="374">
        <f t="shared" si="46"/>
        <v>64.636175100000003</v>
      </c>
      <c r="K182" s="374">
        <f t="shared" si="47"/>
        <v>32.318087550000001</v>
      </c>
      <c r="L182" s="374">
        <f t="shared" si="37"/>
        <v>0.53461916118589337</v>
      </c>
      <c r="M182" s="374">
        <f t="shared" si="38"/>
        <v>134.22852861092153</v>
      </c>
      <c r="N182" s="374">
        <f t="shared" si="39"/>
        <v>268.45705722184306</v>
      </c>
      <c r="O182" s="374">
        <f>+C177+D178+D179+D180+D181+(D182/2)</f>
        <v>5.5</v>
      </c>
      <c r="P182" s="374">
        <f t="shared" si="40"/>
        <v>9.5845752520223898E-2</v>
      </c>
      <c r="Q182" s="374">
        <f t="shared" si="41"/>
        <v>25.730468668792355</v>
      </c>
      <c r="R182" s="374">
        <f t="shared" si="48"/>
        <v>269.53262814193619</v>
      </c>
      <c r="S182" s="374">
        <f t="shared" si="62"/>
        <v>295.26309681072854</v>
      </c>
      <c r="T182" s="375">
        <f t="shared" si="42"/>
        <v>295.26309681072854</v>
      </c>
      <c r="V182" s="929">
        <f t="shared" si="43"/>
        <v>0</v>
      </c>
      <c r="W182" s="340"/>
      <c r="X182" s="340"/>
      <c r="Y182" s="340"/>
      <c r="Z182" s="340"/>
      <c r="AA182" s="340"/>
      <c r="AB182" s="257" t="str">
        <f t="shared" si="49"/>
        <v>use the locking pin</v>
      </c>
      <c r="AC182" s="377"/>
      <c r="AD182" s="377"/>
      <c r="AE182" s="377"/>
      <c r="AF182" s="966">
        <f>SUM(V182:V202)/($B$174-B181)</f>
        <v>0</v>
      </c>
      <c r="AG182" s="971">
        <f>SUM(D178:D182)+$C$177</f>
        <v>6</v>
      </c>
      <c r="AH182" s="353"/>
      <c r="AI182" s="944">
        <f t="shared" si="50"/>
        <v>69.499008599999996</v>
      </c>
      <c r="AJ182" s="575">
        <f t="shared" si="44"/>
        <v>0.93666612940184768</v>
      </c>
      <c r="AK182" s="944">
        <f t="shared" si="51"/>
        <v>272.23533020781213</v>
      </c>
      <c r="AL182" s="944">
        <f t="shared" si="52"/>
        <v>63.181912400000002</v>
      </c>
      <c r="AM182" s="968">
        <f t="shared" si="53"/>
        <v>0.8924434372699539</v>
      </c>
      <c r="AN182" s="944">
        <f t="shared" si="54"/>
        <v>224.06860462595034</v>
      </c>
      <c r="AO182" s="969"/>
      <c r="AP182" s="251">
        <f t="shared" si="55"/>
        <v>-117.2</v>
      </c>
      <c r="AQ182" s="347"/>
      <c r="AR182" s="347">
        <f t="shared" si="56"/>
        <v>496.30393483376247</v>
      </c>
      <c r="AS182" s="348">
        <f t="shared" si="64"/>
        <v>-224.06860462595034</v>
      </c>
      <c r="AT182" s="348"/>
      <c r="AU182" s="348">
        <f t="shared" si="63"/>
        <v>224.06860462595034</v>
      </c>
      <c r="AV182" s="350">
        <f t="shared" si="57"/>
        <v>-64.287180618550863</v>
      </c>
      <c r="AW182" s="350">
        <f t="shared" si="58"/>
        <v>-52.912819381449147</v>
      </c>
      <c r="AX182" s="351">
        <f t="shared" si="59"/>
        <v>-180.44032866877157</v>
      </c>
      <c r="AY182" s="351">
        <f t="shared" si="60"/>
        <v>-188.99011840419769</v>
      </c>
      <c r="AZ182" s="241">
        <f t="shared" si="61"/>
        <v>180.44032866877157</v>
      </c>
      <c r="BA182" s="242">
        <f t="shared" si="61"/>
        <v>188.99011840419769</v>
      </c>
      <c r="BC182" s="109"/>
      <c r="BD182" s="109"/>
      <c r="BE182" s="119"/>
      <c r="BF182" s="119"/>
      <c r="BG182" s="259" t="s">
        <v>107</v>
      </c>
      <c r="BH182" s="119"/>
      <c r="BI182" s="119"/>
      <c r="BJ182" s="119"/>
      <c r="BK182" s="119"/>
      <c r="BL182" s="119"/>
    </row>
    <row r="183" spans="1:133" ht="21" thickBot="1" x14ac:dyDescent="0.35">
      <c r="B183" s="244">
        <v>7</v>
      </c>
      <c r="C183" s="245"/>
      <c r="D183" s="16">
        <v>1</v>
      </c>
      <c r="E183" s="234" t="s">
        <v>215</v>
      </c>
      <c r="F183" s="235"/>
      <c r="G183" s="235">
        <f t="shared" si="45"/>
        <v>1</v>
      </c>
      <c r="H183" s="888">
        <v>251.073172</v>
      </c>
      <c r="I183" s="889">
        <v>65.636175100000003</v>
      </c>
      <c r="J183" s="374">
        <f t="shared" si="46"/>
        <v>64.636175100000003</v>
      </c>
      <c r="K183" s="374">
        <f t="shared" si="47"/>
        <v>32.318087550000001</v>
      </c>
      <c r="L183" s="374">
        <f t="shared" si="37"/>
        <v>0.53461916118589337</v>
      </c>
      <c r="M183" s="374">
        <f t="shared" si="38"/>
        <v>134.22852861092153</v>
      </c>
      <c r="N183" s="374">
        <f t="shared" si="39"/>
        <v>268.45705722184306</v>
      </c>
      <c r="O183" s="374">
        <f>+C177+D178+D179+D180+D181+D182+(D183/2)</f>
        <v>6.5</v>
      </c>
      <c r="P183" s="374">
        <f t="shared" si="40"/>
        <v>0.11320321376790661</v>
      </c>
      <c r="Q183" s="374">
        <f t="shared" si="41"/>
        <v>30.390201636187438</v>
      </c>
      <c r="R183" s="374">
        <f t="shared" si="48"/>
        <v>295.26309681072854</v>
      </c>
      <c r="S183" s="374">
        <f t="shared" si="62"/>
        <v>325.65329844691598</v>
      </c>
      <c r="T183" s="375">
        <f t="shared" si="42"/>
        <v>325.65329844691598</v>
      </c>
      <c r="V183" s="929">
        <f t="shared" si="43"/>
        <v>0</v>
      </c>
      <c r="W183" s="340"/>
      <c r="X183" s="340"/>
      <c r="Y183" s="340"/>
      <c r="Z183" s="340"/>
      <c r="AA183" s="340"/>
      <c r="AB183" s="257" t="str">
        <f>IF(AY183&lt;0,"use the locking pin"," ")</f>
        <v>use the locking pin</v>
      </c>
      <c r="AC183" s="377"/>
      <c r="AD183" s="377"/>
      <c r="AE183" s="377"/>
      <c r="AF183" s="966">
        <f t="shared" ref="AF183" si="65">SUM(V183:V202)/($B$174-B182)</f>
        <v>0</v>
      </c>
      <c r="AG183" s="971">
        <f>SUM(D178:D183)+$C$177</f>
        <v>7</v>
      </c>
      <c r="AH183" s="353"/>
      <c r="AI183" s="944">
        <f t="shared" si="50"/>
        <v>68.499008599999996</v>
      </c>
      <c r="AJ183" s="575">
        <f t="shared" si="44"/>
        <v>0.93041122620083849</v>
      </c>
      <c r="AK183" s="944">
        <f t="shared" si="51"/>
        <v>270.41738720240846</v>
      </c>
      <c r="AL183" s="944">
        <f t="shared" si="52"/>
        <v>64.181912400000002</v>
      </c>
      <c r="AM183" s="968">
        <f t="shared" si="53"/>
        <v>0.90018132923109617</v>
      </c>
      <c r="AN183" s="944">
        <f t="shared" si="54"/>
        <v>226.01138170522765</v>
      </c>
      <c r="AO183" s="969"/>
      <c r="AP183" s="251">
        <f t="shared" si="55"/>
        <v>-146.5</v>
      </c>
      <c r="AQ183" s="347"/>
      <c r="AR183" s="347">
        <f t="shared" si="56"/>
        <v>496.42876890763614</v>
      </c>
      <c r="AS183" s="348">
        <f t="shared" si="64"/>
        <v>-226.01138170522765</v>
      </c>
      <c r="AT183" s="348"/>
      <c r="AU183" s="348">
        <f t="shared" si="63"/>
        <v>226.01138170522765</v>
      </c>
      <c r="AV183" s="350">
        <f t="shared" si="57"/>
        <v>-79.802279211831276</v>
      </c>
      <c r="AW183" s="350">
        <f t="shared" si="58"/>
        <v>-66.697720788168724</v>
      </c>
      <c r="AX183" s="351">
        <f t="shared" si="59"/>
        <v>-145.35925683536385</v>
      </c>
      <c r="AY183" s="351">
        <f t="shared" si="60"/>
        <v>-149.93016075856471</v>
      </c>
      <c r="AZ183" s="241">
        <f t="shared" si="61"/>
        <v>145.35925683536385</v>
      </c>
      <c r="BA183" s="242">
        <f t="shared" si="61"/>
        <v>149.93016075856471</v>
      </c>
      <c r="BE183" s="260">
        <v>1</v>
      </c>
      <c r="BF183" s="261">
        <v>-473</v>
      </c>
      <c r="BG183" s="262">
        <f>+COS(($B$144*-1)*3.14159265358979/180)*BF183</f>
        <v>-473</v>
      </c>
      <c r="BH183" s="263">
        <f t="shared" ref="BH183:BH219" si="66">+BG183-D$3</f>
        <v>-710.84047341718883</v>
      </c>
      <c r="BI183" s="264">
        <f t="shared" ref="BI183:BI219" si="67">ABS(BH183)</f>
        <v>710.84047341718883</v>
      </c>
      <c r="BJ183" s="265">
        <f>MIN(BI183:BI219)</f>
        <v>20.159526582811139</v>
      </c>
      <c r="BK183" s="264" t="b">
        <f>IF(BJ183=BI183,BE183)</f>
        <v>0</v>
      </c>
      <c r="BL183" s="266">
        <v>1</v>
      </c>
      <c r="BP183" s="109"/>
      <c r="BR183" s="109"/>
      <c r="BT183" s="109"/>
    </row>
    <row r="184" spans="1:133" ht="21" thickBot="1" x14ac:dyDescent="0.35">
      <c r="B184" s="244">
        <v>8</v>
      </c>
      <c r="C184" s="245"/>
      <c r="D184" s="16">
        <v>1</v>
      </c>
      <c r="E184" s="234" t="s">
        <v>215</v>
      </c>
      <c r="F184" s="235"/>
      <c r="G184" s="235">
        <f t="shared" si="45"/>
        <v>1</v>
      </c>
      <c r="H184" s="888">
        <v>251.073172</v>
      </c>
      <c r="I184" s="889">
        <v>65.636175100000003</v>
      </c>
      <c r="J184" s="374">
        <f t="shared" si="46"/>
        <v>64.636175100000003</v>
      </c>
      <c r="K184" s="374">
        <f t="shared" si="47"/>
        <v>32.318087550000001</v>
      </c>
      <c r="L184" s="374">
        <f t="shared" si="37"/>
        <v>0.53461916118589337</v>
      </c>
      <c r="M184" s="374">
        <f t="shared" si="38"/>
        <v>134.22852861092153</v>
      </c>
      <c r="N184" s="374">
        <f t="shared" si="39"/>
        <v>268.45705722184306</v>
      </c>
      <c r="O184" s="374">
        <f>+C177+D178+D179+D180+D181+D182+D183+(D184/2)</f>
        <v>7.5</v>
      </c>
      <c r="P184" s="374">
        <f t="shared" si="40"/>
        <v>0.13052619222005146</v>
      </c>
      <c r="Q184" s="374">
        <f t="shared" si="41"/>
        <v>35.040677453767643</v>
      </c>
      <c r="R184" s="374">
        <f t="shared" si="48"/>
        <v>325.65329844691598</v>
      </c>
      <c r="S184" s="374">
        <f t="shared" si="62"/>
        <v>360.69397590068365</v>
      </c>
      <c r="T184" s="375">
        <f t="shared" si="42"/>
        <v>360.69397590068365</v>
      </c>
      <c r="V184" s="929">
        <f t="shared" si="43"/>
        <v>0</v>
      </c>
      <c r="W184" s="340"/>
      <c r="X184" s="340"/>
      <c r="Y184" s="340"/>
      <c r="Z184" s="340"/>
      <c r="AA184" s="340"/>
      <c r="AB184" s="257" t="str">
        <f t="shared" si="49"/>
        <v>use the locking pin</v>
      </c>
      <c r="AC184" s="377"/>
      <c r="AD184" s="377"/>
      <c r="AE184" s="377"/>
      <c r="AF184" s="966">
        <f>SUM(V184:V202)/($B$174-B183)</f>
        <v>0</v>
      </c>
      <c r="AG184" s="971">
        <f>SUM(D178:D184)+$C$177</f>
        <v>8</v>
      </c>
      <c r="AH184" s="353"/>
      <c r="AI184" s="944">
        <f t="shared" si="50"/>
        <v>67.499008599999996</v>
      </c>
      <c r="AJ184" s="575">
        <f t="shared" si="44"/>
        <v>0.92387291072723265</v>
      </c>
      <c r="AK184" s="944">
        <f t="shared" si="51"/>
        <v>268.5170724412709</v>
      </c>
      <c r="AL184" s="944">
        <f t="shared" si="52"/>
        <v>65.181912400000002</v>
      </c>
      <c r="AM184" s="968">
        <f t="shared" si="53"/>
        <v>0.9076450172391024</v>
      </c>
      <c r="AN184" s="944">
        <f t="shared" si="54"/>
        <v>227.88531352821613</v>
      </c>
      <c r="AO184" s="969"/>
      <c r="AP184" s="251">
        <f t="shared" si="55"/>
        <v>-175.8</v>
      </c>
      <c r="AQ184" s="347"/>
      <c r="AR184" s="347">
        <f t="shared" si="56"/>
        <v>496.402385969487</v>
      </c>
      <c r="AS184" s="348">
        <f t="shared" si="64"/>
        <v>-227.88531352821613</v>
      </c>
      <c r="AT184" s="348"/>
      <c r="AU184" s="348">
        <f t="shared" si="63"/>
        <v>227.88531352821613</v>
      </c>
      <c r="AV184" s="350">
        <f t="shared" si="57"/>
        <v>-95.094831671653282</v>
      </c>
      <c r="AW184" s="350">
        <f t="shared" si="58"/>
        <v>-80.705168328346744</v>
      </c>
      <c r="AX184" s="351">
        <f t="shared" si="59"/>
        <v>-121.98349580188417</v>
      </c>
      <c r="AY184" s="351">
        <f t="shared" si="60"/>
        <v>-123.90780178185463</v>
      </c>
      <c r="AZ184" s="241">
        <f t="shared" si="61"/>
        <v>121.98349580188417</v>
      </c>
      <c r="BA184" s="242">
        <f t="shared" si="61"/>
        <v>123.90780178185463</v>
      </c>
      <c r="BE184" s="260">
        <v>2</v>
      </c>
      <c r="BF184" s="261">
        <f>+BF183+43</f>
        <v>-430</v>
      </c>
      <c r="BG184" s="31">
        <f>+BG183+$E$2</f>
        <v>-430</v>
      </c>
      <c r="BH184" s="263">
        <f t="shared" si="66"/>
        <v>-667.84047341718883</v>
      </c>
      <c r="BI184" s="264">
        <f t="shared" si="67"/>
        <v>667.84047341718883</v>
      </c>
      <c r="BJ184" s="264">
        <f>+BJ183</f>
        <v>20.159526582811139</v>
      </c>
      <c r="BK184" s="264" t="b">
        <f t="shared" ref="BK184:BK219" si="68">IF(BJ184=BI184,BE184)</f>
        <v>0</v>
      </c>
      <c r="BL184" s="266">
        <v>2</v>
      </c>
      <c r="BP184" s="109"/>
      <c r="BT184" s="109"/>
    </row>
    <row r="185" spans="1:133" ht="21" thickBot="1" x14ac:dyDescent="0.35">
      <c r="B185" s="244">
        <v>9</v>
      </c>
      <c r="C185" s="245"/>
      <c r="D185" s="16">
        <v>1</v>
      </c>
      <c r="E185" s="234" t="s">
        <v>215</v>
      </c>
      <c r="F185" s="235"/>
      <c r="G185" s="235">
        <f t="shared" si="45"/>
        <v>1</v>
      </c>
      <c r="H185" s="888">
        <v>251.073172</v>
      </c>
      <c r="I185" s="889">
        <v>65.636175100000003</v>
      </c>
      <c r="J185" s="374">
        <f t="shared" si="46"/>
        <v>64.636175100000003</v>
      </c>
      <c r="K185" s="374">
        <f t="shared" si="47"/>
        <v>32.318087550000001</v>
      </c>
      <c r="L185" s="374">
        <f t="shared" si="37"/>
        <v>0.53461916118589337</v>
      </c>
      <c r="M185" s="374">
        <f t="shared" si="38"/>
        <v>134.22852861092153</v>
      </c>
      <c r="N185" s="374">
        <f t="shared" si="39"/>
        <v>268.45705722184306</v>
      </c>
      <c r="O185" s="374">
        <f>+C177+D178+D179+D180+D181+D182+D183+D184+(D185/2)</f>
        <v>8.5</v>
      </c>
      <c r="P185" s="374">
        <f t="shared" si="40"/>
        <v>0.14780941112961046</v>
      </c>
      <c r="Q185" s="374">
        <f t="shared" si="41"/>
        <v>39.680479541548763</v>
      </c>
      <c r="R185" s="374">
        <f t="shared" si="48"/>
        <v>360.69397590068365</v>
      </c>
      <c r="S185" s="374">
        <f t="shared" si="62"/>
        <v>400.37445544223243</v>
      </c>
      <c r="T185" s="375">
        <f t="shared" si="42"/>
        <v>400.37445544223243</v>
      </c>
      <c r="V185" s="929">
        <f t="shared" si="43"/>
        <v>0</v>
      </c>
      <c r="W185" s="340"/>
      <c r="X185" s="340"/>
      <c r="Y185" s="340"/>
      <c r="Z185" s="340"/>
      <c r="AA185" s="340"/>
      <c r="AB185" s="257" t="str">
        <f t="shared" si="49"/>
        <v>use the locking pin</v>
      </c>
      <c r="AC185" s="377"/>
      <c r="AD185" s="377"/>
      <c r="AE185" s="377"/>
      <c r="AF185" s="966">
        <f>SUM(V185:V202)/($B$174-B184)</f>
        <v>0</v>
      </c>
      <c r="AG185" s="971">
        <f>SUM(D178:D185)+$C$177</f>
        <v>9</v>
      </c>
      <c r="AH185" s="353"/>
      <c r="AI185" s="944">
        <f t="shared" si="50"/>
        <v>66.499008599999996</v>
      </c>
      <c r="AJ185" s="575">
        <f t="shared" si="44"/>
        <v>0.91705317461526137</v>
      </c>
      <c r="AK185" s="944">
        <f t="shared" si="51"/>
        <v>266.53496477868435</v>
      </c>
      <c r="AL185" s="944">
        <f t="shared" si="52"/>
        <v>66.181912400000002</v>
      </c>
      <c r="AM185" s="968">
        <f t="shared" si="53"/>
        <v>0.91483222778230289</v>
      </c>
      <c r="AN185" s="944">
        <f t="shared" si="54"/>
        <v>229.68982927712932</v>
      </c>
      <c r="AO185" s="969"/>
      <c r="AP185" s="251">
        <f t="shared" si="55"/>
        <v>-205.1</v>
      </c>
      <c r="AQ185" s="347"/>
      <c r="AR185" s="347">
        <f t="shared" si="56"/>
        <v>496.22479405581367</v>
      </c>
      <c r="AS185" s="348">
        <f t="shared" si="64"/>
        <v>-229.68982927712932</v>
      </c>
      <c r="AT185" s="348"/>
      <c r="AU185" s="348">
        <f t="shared" si="63"/>
        <v>229.68982927712932</v>
      </c>
      <c r="AV185" s="350">
        <f t="shared" si="57"/>
        <v>-110.16442936940284</v>
      </c>
      <c r="AW185" s="350">
        <f t="shared" si="58"/>
        <v>-94.935570630597155</v>
      </c>
      <c r="AX185" s="351">
        <f t="shared" si="59"/>
        <v>-105.29714596989319</v>
      </c>
      <c r="AY185" s="351">
        <f t="shared" si="60"/>
        <v>-105.33459622748674</v>
      </c>
      <c r="AZ185" s="241">
        <f t="shared" si="61"/>
        <v>105.29714596989319</v>
      </c>
      <c r="BA185" s="242">
        <f t="shared" si="61"/>
        <v>105.33459622748674</v>
      </c>
      <c r="BE185" s="260">
        <v>3</v>
      </c>
      <c r="BF185" s="261">
        <f t="shared" ref="BF185:BF219" si="69">+BF184+43</f>
        <v>-387</v>
      </c>
      <c r="BG185" s="31">
        <f t="shared" ref="BG185:BG219" si="70">+BG184+$E$2</f>
        <v>-387</v>
      </c>
      <c r="BH185" s="263">
        <f t="shared" si="66"/>
        <v>-624.84047341718883</v>
      </c>
      <c r="BI185" s="264">
        <f t="shared" si="67"/>
        <v>624.84047341718883</v>
      </c>
      <c r="BJ185" s="264">
        <f t="shared" ref="BJ185:BJ219" si="71">+BJ184</f>
        <v>20.159526582811139</v>
      </c>
      <c r="BK185" s="264" t="b">
        <f t="shared" si="68"/>
        <v>0</v>
      </c>
      <c r="BL185" s="266">
        <v>3</v>
      </c>
      <c r="BP185" s="109"/>
      <c r="BQ185" s="273"/>
      <c r="BR185" s="273"/>
      <c r="BS185" s="273"/>
      <c r="BT185" s="273"/>
      <c r="BU185" s="273"/>
      <c r="BV185" s="273"/>
      <c r="BW185" s="273"/>
      <c r="BX185" s="273"/>
      <c r="BY185" s="273"/>
      <c r="BZ185" s="273"/>
      <c r="CA185" s="273"/>
      <c r="CB185" s="273"/>
      <c r="CC185" s="273"/>
      <c r="CD185" s="273"/>
      <c r="CE185" s="273"/>
      <c r="CF185" s="273"/>
      <c r="CG185" s="273"/>
      <c r="CH185" s="273"/>
      <c r="CI185" s="273"/>
      <c r="CJ185" s="273"/>
      <c r="CK185" s="273"/>
      <c r="CL185" s="273"/>
      <c r="CM185" s="273"/>
      <c r="CN185" s="273"/>
    </row>
    <row r="186" spans="1:133" ht="21" thickBot="1" x14ac:dyDescent="0.35">
      <c r="B186" s="244">
        <v>10</v>
      </c>
      <c r="C186" s="245"/>
      <c r="D186" s="16">
        <v>1</v>
      </c>
      <c r="E186" s="234" t="s">
        <v>215</v>
      </c>
      <c r="F186" s="235"/>
      <c r="G186" s="235">
        <f t="shared" si="45"/>
        <v>1</v>
      </c>
      <c r="H186" s="888">
        <v>251.073172</v>
      </c>
      <c r="I186" s="889">
        <v>65.636175100000003</v>
      </c>
      <c r="J186" s="374">
        <f t="shared" si="46"/>
        <v>64.636175100000003</v>
      </c>
      <c r="K186" s="374">
        <f t="shared" si="47"/>
        <v>32.318087550000001</v>
      </c>
      <c r="L186" s="374">
        <f t="shared" si="37"/>
        <v>0.53461916118589337</v>
      </c>
      <c r="M186" s="374">
        <f t="shared" si="38"/>
        <v>134.22852861092153</v>
      </c>
      <c r="N186" s="374">
        <f t="shared" si="39"/>
        <v>268.45705722184306</v>
      </c>
      <c r="O186" s="374">
        <f>+C177+D178+D179+D180+D181+D182+D183+D184+D185+(D186/2)</f>
        <v>9.5</v>
      </c>
      <c r="P186" s="374">
        <f t="shared" si="40"/>
        <v>0.16504760586067749</v>
      </c>
      <c r="Q186" s="374">
        <f t="shared" si="41"/>
        <v>44.308194570868096</v>
      </c>
      <c r="R186" s="374">
        <f t="shared" si="48"/>
        <v>400.37445544223243</v>
      </c>
      <c r="S186" s="374">
        <f t="shared" si="62"/>
        <v>444.68265001310056</v>
      </c>
      <c r="T186" s="375">
        <f t="shared" si="42"/>
        <v>444.68265001310056</v>
      </c>
      <c r="V186" s="929">
        <f t="shared" si="43"/>
        <v>0</v>
      </c>
      <c r="W186" s="340"/>
      <c r="X186" s="340"/>
      <c r="Y186" s="340"/>
      <c r="Z186" s="340"/>
      <c r="AA186" s="340"/>
      <c r="AB186" s="257" t="str">
        <f t="shared" si="49"/>
        <v>use the locking pin</v>
      </c>
      <c r="AC186" s="377"/>
      <c r="AD186" s="377"/>
      <c r="AE186" s="377"/>
      <c r="AF186" s="966">
        <f>SUM(V186:V202)/($B$174-B185)</f>
        <v>0</v>
      </c>
      <c r="AG186" s="971">
        <f>SUM(D178:D186)+$C$177</f>
        <v>10</v>
      </c>
      <c r="AH186" s="353"/>
      <c r="AI186" s="944">
        <f t="shared" si="50"/>
        <v>65.499008599999996</v>
      </c>
      <c r="AJ186" s="575">
        <f t="shared" si="44"/>
        <v>0.90995409522260873</v>
      </c>
      <c r="AK186" s="944">
        <f t="shared" si="51"/>
        <v>264.4716679838441</v>
      </c>
      <c r="AL186" s="944">
        <f t="shared" si="52"/>
        <v>67.181912400000002</v>
      </c>
      <c r="AM186" s="968">
        <f t="shared" si="53"/>
        <v>0.92174077156674206</v>
      </c>
      <c r="AN186" s="944">
        <f t="shared" si="54"/>
        <v>231.42437927898933</v>
      </c>
      <c r="AO186" s="969"/>
      <c r="AP186" s="251">
        <f t="shared" si="55"/>
        <v>-234.4</v>
      </c>
      <c r="AQ186" s="347"/>
      <c r="AR186" s="347">
        <f t="shared" si="56"/>
        <v>495.89604726283346</v>
      </c>
      <c r="AS186" s="348">
        <f t="shared" si="64"/>
        <v>-231.42437927898933</v>
      </c>
      <c r="AT186" s="348"/>
      <c r="AU186" s="348">
        <f t="shared" si="63"/>
        <v>231.42437927898933</v>
      </c>
      <c r="AV186" s="350">
        <f t="shared" si="57"/>
        <v>-125.01039142696804</v>
      </c>
      <c r="AW186" s="350">
        <f t="shared" si="58"/>
        <v>-109.38960857303194</v>
      </c>
      <c r="AX186" s="351">
        <f t="shared" si="59"/>
        <v>-92.792286045890847</v>
      </c>
      <c r="AY186" s="351">
        <f t="shared" si="60"/>
        <v>-91.416361484863401</v>
      </c>
      <c r="AZ186" s="241">
        <f t="shared" si="61"/>
        <v>92.792286045890847</v>
      </c>
      <c r="BA186" s="242">
        <f t="shared" si="61"/>
        <v>91.416361484863401</v>
      </c>
      <c r="BE186" s="260">
        <v>4</v>
      </c>
      <c r="BF186" s="261">
        <f t="shared" si="69"/>
        <v>-344</v>
      </c>
      <c r="BG186" s="31">
        <f t="shared" si="70"/>
        <v>-344</v>
      </c>
      <c r="BH186" s="263">
        <f t="shared" si="66"/>
        <v>-581.84047341718883</v>
      </c>
      <c r="BI186" s="264">
        <f t="shared" si="67"/>
        <v>581.84047341718883</v>
      </c>
      <c r="BJ186" s="264">
        <f t="shared" si="71"/>
        <v>20.159526582811139</v>
      </c>
      <c r="BK186" s="264" t="b">
        <f t="shared" si="68"/>
        <v>0</v>
      </c>
      <c r="BL186" s="266">
        <v>4</v>
      </c>
      <c r="BP186" s="109"/>
    </row>
    <row r="187" spans="1:133" ht="21" thickBot="1" x14ac:dyDescent="0.35">
      <c r="A187" s="258"/>
      <c r="B187" s="244">
        <v>11</v>
      </c>
      <c r="C187" s="245"/>
      <c r="D187" s="16">
        <v>1</v>
      </c>
      <c r="E187" s="234" t="s">
        <v>215</v>
      </c>
      <c r="F187" s="235"/>
      <c r="G187" s="235">
        <f t="shared" si="45"/>
        <v>1</v>
      </c>
      <c r="H187" s="888">
        <v>251.073172</v>
      </c>
      <c r="I187" s="889">
        <v>65.636175100000003</v>
      </c>
      <c r="J187" s="374">
        <f t="shared" si="46"/>
        <v>64.636175100000003</v>
      </c>
      <c r="K187" s="374">
        <f t="shared" si="47"/>
        <v>32.318087550000001</v>
      </c>
      <c r="L187" s="374">
        <f t="shared" si="37"/>
        <v>0.53461916118589337</v>
      </c>
      <c r="M187" s="374">
        <f t="shared" si="38"/>
        <v>134.22852861092153</v>
      </c>
      <c r="N187" s="374">
        <f t="shared" si="39"/>
        <v>268.45705722184306</v>
      </c>
      <c r="O187" s="374">
        <f>+C177+D178+D179+D180+D181+D182+D183+D184+D185+D186+(D187/2)</f>
        <v>10.5</v>
      </c>
      <c r="P187" s="374">
        <f t="shared" si="40"/>
        <v>0.18223552549214728</v>
      </c>
      <c r="Q187" s="374">
        <f t="shared" si="41"/>
        <v>48.922412894898024</v>
      </c>
      <c r="R187" s="374">
        <f t="shared" si="48"/>
        <v>444.68265001310056</v>
      </c>
      <c r="S187" s="374">
        <f t="shared" si="62"/>
        <v>493.60506290799856</v>
      </c>
      <c r="T187" s="375">
        <f t="shared" si="42"/>
        <v>493.60506290799856</v>
      </c>
      <c r="V187" s="929">
        <f t="shared" si="43"/>
        <v>0</v>
      </c>
      <c r="W187" s="340"/>
      <c r="X187" s="340"/>
      <c r="Y187" s="340"/>
      <c r="Z187" s="340"/>
      <c r="AA187" s="340"/>
      <c r="AB187" s="257" t="str">
        <f t="shared" si="49"/>
        <v>use the locking pin</v>
      </c>
      <c r="AC187" s="377"/>
      <c r="AD187" s="377"/>
      <c r="AE187" s="377"/>
      <c r="AF187" s="966">
        <f>SUM(V187:V202)/($B$174-B186)</f>
        <v>0</v>
      </c>
      <c r="AG187" s="971">
        <f>SUM(D178:D187)+$C$177</f>
        <v>11</v>
      </c>
      <c r="AH187" s="353"/>
      <c r="AI187" s="944">
        <f t="shared" si="50"/>
        <v>64.499008599999996</v>
      </c>
      <c r="AJ187" s="575">
        <f t="shared" si="44"/>
        <v>0.902577834997628</v>
      </c>
      <c r="AK187" s="944">
        <f t="shared" si="51"/>
        <v>262.32781055694142</v>
      </c>
      <c r="AL187" s="944">
        <f t="shared" si="52"/>
        <v>68.181912400000002</v>
      </c>
      <c r="AM187" s="968">
        <f t="shared" si="53"/>
        <v>0.9283685441830587</v>
      </c>
      <c r="AN187" s="944">
        <f t="shared" si="54"/>
        <v>233.08843517306269</v>
      </c>
      <c r="AO187" s="969"/>
      <c r="AP187" s="251">
        <f t="shared" si="55"/>
        <v>-263.7</v>
      </c>
      <c r="AQ187" s="347"/>
      <c r="AR187" s="347">
        <f t="shared" si="56"/>
        <v>495.41624573000411</v>
      </c>
      <c r="AS187" s="348">
        <f t="shared" si="64"/>
        <v>-233.08843517306269</v>
      </c>
      <c r="AT187" s="348"/>
      <c r="AU187" s="348">
        <f t="shared" si="63"/>
        <v>233.08843517306269</v>
      </c>
      <c r="AV187" s="350">
        <f t="shared" si="57"/>
        <v>-139.63176266441099</v>
      </c>
      <c r="AW187" s="350">
        <f t="shared" si="58"/>
        <v>-124.06823733558899</v>
      </c>
      <c r="AX187" s="351">
        <f t="shared" si="59"/>
        <v>-83.075653981961665</v>
      </c>
      <c r="AY187" s="351">
        <f t="shared" si="60"/>
        <v>-80.6008065783288</v>
      </c>
      <c r="AZ187" s="241">
        <f t="shared" si="61"/>
        <v>83.075653981961665</v>
      </c>
      <c r="BA187" s="242">
        <f t="shared" si="61"/>
        <v>80.6008065783288</v>
      </c>
      <c r="BE187" s="260">
        <v>5</v>
      </c>
      <c r="BF187" s="261">
        <f t="shared" si="69"/>
        <v>-301</v>
      </c>
      <c r="BG187" s="31">
        <f t="shared" si="70"/>
        <v>-301</v>
      </c>
      <c r="BH187" s="263">
        <f t="shared" si="66"/>
        <v>-538.84047341718883</v>
      </c>
      <c r="BI187" s="264">
        <f t="shared" si="67"/>
        <v>538.84047341718883</v>
      </c>
      <c r="BJ187" s="264">
        <f t="shared" si="71"/>
        <v>20.159526582811139</v>
      </c>
      <c r="BK187" s="264" t="b">
        <f t="shared" si="68"/>
        <v>0</v>
      </c>
      <c r="BL187" s="266">
        <v>5</v>
      </c>
      <c r="BP187" s="216"/>
      <c r="BQ187" s="274"/>
      <c r="BR187" s="274"/>
      <c r="BS187" s="274"/>
      <c r="BT187" s="274"/>
      <c r="BU187" s="274"/>
      <c r="BV187" s="274"/>
      <c r="BW187" s="274"/>
      <c r="BX187" s="274"/>
      <c r="BY187" s="274"/>
      <c r="BZ187" s="274"/>
      <c r="CA187" s="274"/>
      <c r="CB187" s="274"/>
      <c r="CC187" s="274"/>
      <c r="CD187" s="274"/>
      <c r="CE187" s="274"/>
      <c r="CF187" s="274"/>
      <c r="CG187" s="274"/>
      <c r="CH187" s="274"/>
      <c r="CI187" s="274"/>
      <c r="CJ187" s="274"/>
      <c r="CK187" s="274"/>
      <c r="CL187" s="274"/>
      <c r="CM187" s="274"/>
      <c r="CN187" s="274"/>
    </row>
    <row r="188" spans="1:133" ht="21" thickBot="1" x14ac:dyDescent="0.35">
      <c r="A188" s="258"/>
      <c r="B188" s="244">
        <v>12</v>
      </c>
      <c r="C188" s="245"/>
      <c r="D188" s="16">
        <v>1</v>
      </c>
      <c r="E188" s="234" t="s">
        <v>215</v>
      </c>
      <c r="F188" s="235"/>
      <c r="G188" s="235">
        <f t="shared" si="45"/>
        <v>1</v>
      </c>
      <c r="H188" s="888">
        <v>251.073172</v>
      </c>
      <c r="I188" s="889">
        <v>65.636175100000003</v>
      </c>
      <c r="J188" s="374">
        <f t="shared" si="46"/>
        <v>64.636175100000003</v>
      </c>
      <c r="K188" s="374">
        <f t="shared" si="47"/>
        <v>32.318087550000001</v>
      </c>
      <c r="L188" s="374">
        <f t="shared" si="37"/>
        <v>0.53461916118589337</v>
      </c>
      <c r="M188" s="374">
        <f t="shared" si="38"/>
        <v>134.22852861092153</v>
      </c>
      <c r="N188" s="374">
        <f t="shared" si="39"/>
        <v>268.45705722184306</v>
      </c>
      <c r="O188" s="374">
        <f>+C177+D178+D179+D180+D181+D182+D183+D184+D185+D186+D187+(D188/2)</f>
        <v>11.5</v>
      </c>
      <c r="P188" s="374">
        <f t="shared" si="40"/>
        <v>0.19936793441719697</v>
      </c>
      <c r="Q188" s="374">
        <f t="shared" si="41"/>
        <v>53.521728978038098</v>
      </c>
      <c r="R188" s="374">
        <f t="shared" si="48"/>
        <v>493.60506290799856</v>
      </c>
      <c r="S188" s="374">
        <f t="shared" si="62"/>
        <v>547.1267918860367</v>
      </c>
      <c r="T188" s="375">
        <f t="shared" si="42"/>
        <v>547.1267918860367</v>
      </c>
      <c r="V188" s="929">
        <f t="shared" si="43"/>
        <v>0</v>
      </c>
      <c r="W188" s="340"/>
      <c r="X188" s="340"/>
      <c r="Y188" s="340"/>
      <c r="Z188" s="340"/>
      <c r="AA188" s="340"/>
      <c r="AB188" s="257" t="str">
        <f t="shared" si="49"/>
        <v>use the locking pin</v>
      </c>
      <c r="AC188" s="377"/>
      <c r="AD188" s="377"/>
      <c r="AE188" s="377"/>
      <c r="AF188" s="966">
        <f>SUM(V188:V202)/($B$174-B187)</f>
        <v>0</v>
      </c>
      <c r="AG188" s="971">
        <f>SUM(D178:D188)+$C$177</f>
        <v>12</v>
      </c>
      <c r="AH188" s="353"/>
      <c r="AI188" s="944">
        <f t="shared" si="50"/>
        <v>63.499008599999996</v>
      </c>
      <c r="AJ188" s="575">
        <f t="shared" si="44"/>
        <v>0.89492664082063922</v>
      </c>
      <c r="AK188" s="944">
        <f t="shared" si="51"/>
        <v>260.1040455377165</v>
      </c>
      <c r="AL188" s="944">
        <f t="shared" si="52"/>
        <v>69.181912400000002</v>
      </c>
      <c r="AM188" s="968">
        <f t="shared" si="53"/>
        <v>0.93471352674750907</v>
      </c>
      <c r="AN188" s="944">
        <f t="shared" si="54"/>
        <v>234.68149007180395</v>
      </c>
      <c r="AO188" s="969"/>
      <c r="AP188" s="251">
        <f t="shared" si="55"/>
        <v>-293</v>
      </c>
      <c r="AQ188" s="347"/>
      <c r="AR188" s="347">
        <f t="shared" si="56"/>
        <v>494.78553560952048</v>
      </c>
      <c r="AS188" s="348">
        <f t="shared" si="64"/>
        <v>-234.68149007180395</v>
      </c>
      <c r="AT188" s="348"/>
      <c r="AU188" s="348">
        <f t="shared" si="63"/>
        <v>234.68149007180395</v>
      </c>
      <c r="AV188" s="350">
        <f t="shared" si="57"/>
        <v>-154.02731053701507</v>
      </c>
      <c r="AW188" s="350">
        <f t="shared" si="58"/>
        <v>-138.97268946298493</v>
      </c>
      <c r="AX188" s="351">
        <f t="shared" si="59"/>
        <v>-75.311319528703621</v>
      </c>
      <c r="AY188" s="351">
        <f t="shared" si="60"/>
        <v>-71.956583978059072</v>
      </c>
      <c r="AZ188" s="241">
        <f t="shared" si="61"/>
        <v>75.311319528703621</v>
      </c>
      <c r="BA188" s="242">
        <f t="shared" si="61"/>
        <v>71.956583978059072</v>
      </c>
      <c r="BE188" s="260">
        <v>6</v>
      </c>
      <c r="BF188" s="261">
        <f t="shared" si="69"/>
        <v>-258</v>
      </c>
      <c r="BG188" s="31">
        <f t="shared" si="70"/>
        <v>-258</v>
      </c>
      <c r="BH188" s="263">
        <f t="shared" si="66"/>
        <v>-495.84047341718883</v>
      </c>
      <c r="BI188" s="264">
        <f t="shared" si="67"/>
        <v>495.84047341718883</v>
      </c>
      <c r="BJ188" s="264">
        <f t="shared" si="71"/>
        <v>20.159526582811139</v>
      </c>
      <c r="BK188" s="264" t="b">
        <f t="shared" si="68"/>
        <v>0</v>
      </c>
      <c r="BL188" s="266">
        <v>6</v>
      </c>
      <c r="BP188" s="109"/>
      <c r="BQ188" s="186"/>
      <c r="BR188" s="186"/>
      <c r="BS188" s="186"/>
      <c r="BT188" s="186"/>
      <c r="BU188" s="186"/>
      <c r="BV188" s="186"/>
      <c r="BW188" s="186"/>
      <c r="BX188" s="186"/>
      <c r="BY188" s="186"/>
      <c r="BZ188" s="186"/>
      <c r="CA188" s="186"/>
      <c r="CB188" s="186"/>
      <c r="CC188" s="186"/>
      <c r="CD188" s="186"/>
      <c r="CE188" s="186"/>
      <c r="CF188" s="186"/>
      <c r="CG188" s="186"/>
      <c r="CH188" s="186"/>
      <c r="CI188" s="186"/>
      <c r="CJ188" s="186"/>
      <c r="CK188" s="186"/>
      <c r="CL188" s="186"/>
      <c r="CM188" s="186"/>
      <c r="CN188" s="186"/>
    </row>
    <row r="189" spans="1:133" ht="21" thickBot="1" x14ac:dyDescent="0.35">
      <c r="B189" s="244">
        <v>13</v>
      </c>
      <c r="C189" s="245"/>
      <c r="D189" s="16">
        <v>1</v>
      </c>
      <c r="E189" s="234" t="s">
        <v>215</v>
      </c>
      <c r="F189" s="235"/>
      <c r="G189" s="235">
        <f t="shared" si="45"/>
        <v>1</v>
      </c>
      <c r="H189" s="888">
        <v>251.073172</v>
      </c>
      <c r="I189" s="889">
        <v>65.636175100000003</v>
      </c>
      <c r="J189" s="374">
        <f t="shared" si="46"/>
        <v>64.636175100000003</v>
      </c>
      <c r="K189" s="374">
        <f t="shared" si="47"/>
        <v>32.318087550000001</v>
      </c>
      <c r="L189" s="374">
        <f t="shared" si="37"/>
        <v>0.53461916118589337</v>
      </c>
      <c r="M189" s="374">
        <f t="shared" si="38"/>
        <v>134.22852861092153</v>
      </c>
      <c r="N189" s="374">
        <f t="shared" si="39"/>
        <v>268.45705722184306</v>
      </c>
      <c r="O189" s="374">
        <f>+C177+D178+D179+D180+D181+D182+D183+D184+D185+D186+D187+D188+(D189/2)</f>
        <v>12.5</v>
      </c>
      <c r="P189" s="374">
        <f t="shared" si="40"/>
        <v>0.21643961393810265</v>
      </c>
      <c r="Q189" s="374">
        <f t="shared" si="41"/>
        <v>58.104741824054848</v>
      </c>
      <c r="R189" s="374">
        <f t="shared" si="48"/>
        <v>547.1267918860367</v>
      </c>
      <c r="S189" s="374">
        <f t="shared" si="62"/>
        <v>605.23153371009153</v>
      </c>
      <c r="T189" s="375">
        <f t="shared" si="42"/>
        <v>605.23153371009153</v>
      </c>
      <c r="V189" s="929">
        <f t="shared" si="43"/>
        <v>0</v>
      </c>
      <c r="W189" s="340"/>
      <c r="X189" s="340"/>
      <c r="Y189" s="340"/>
      <c r="Z189" s="340"/>
      <c r="AA189" s="340"/>
      <c r="AB189" s="257" t="str">
        <f t="shared" si="49"/>
        <v>use the locking pin</v>
      </c>
      <c r="AC189" s="377"/>
      <c r="AD189" s="377"/>
      <c r="AE189" s="377"/>
      <c r="AF189" s="966">
        <f>SUM(V189:V202)/($B$174-B188)</f>
        <v>0</v>
      </c>
      <c r="AG189" s="971">
        <f>SUM(D178:D189)+$C$177</f>
        <v>13</v>
      </c>
      <c r="AH189" s="353"/>
      <c r="AI189" s="944">
        <f t="shared" si="50"/>
        <v>62.499008599999996</v>
      </c>
      <c r="AJ189" s="575">
        <f t="shared" si="44"/>
        <v>0.88700284331950752</v>
      </c>
      <c r="AK189" s="944">
        <f t="shared" si="51"/>
        <v>257.8010503065363</v>
      </c>
      <c r="AL189" s="944">
        <f t="shared" si="52"/>
        <v>70.181912400000002</v>
      </c>
      <c r="AM189" s="968">
        <f t="shared" si="53"/>
        <v>0.94077378651693899</v>
      </c>
      <c r="AN189" s="944">
        <f t="shared" si="54"/>
        <v>236.20305871525869</v>
      </c>
      <c r="AO189" s="969"/>
      <c r="AP189" s="251">
        <f t="shared" si="55"/>
        <v>-322.3</v>
      </c>
      <c r="AQ189" s="347"/>
      <c r="AR189" s="347">
        <f t="shared" si="56"/>
        <v>494.00410902179499</v>
      </c>
      <c r="AS189" s="348">
        <f t="shared" si="64"/>
        <v>-236.20305871525869</v>
      </c>
      <c r="AT189" s="348"/>
      <c r="AU189" s="348">
        <f t="shared" si="63"/>
        <v>236.20305871525869</v>
      </c>
      <c r="AV189" s="350">
        <f t="shared" si="57"/>
        <v>-168.19552104197342</v>
      </c>
      <c r="AW189" s="350">
        <f t="shared" si="58"/>
        <v>-154.10447895802659</v>
      </c>
      <c r="AX189" s="351">
        <f t="shared" si="59"/>
        <v>-68.967353756734127</v>
      </c>
      <c r="AY189" s="351">
        <f t="shared" si="60"/>
        <v>-64.891040595411241</v>
      </c>
      <c r="AZ189" s="241">
        <f t="shared" si="61"/>
        <v>68.967353756734127</v>
      </c>
      <c r="BA189" s="242">
        <f t="shared" si="61"/>
        <v>64.891040595411241</v>
      </c>
      <c r="BE189" s="260">
        <v>7</v>
      </c>
      <c r="BF189" s="261">
        <f t="shared" si="69"/>
        <v>-215</v>
      </c>
      <c r="BG189" s="31">
        <f t="shared" si="70"/>
        <v>-215</v>
      </c>
      <c r="BH189" s="263">
        <f t="shared" si="66"/>
        <v>-452.84047341718883</v>
      </c>
      <c r="BI189" s="264">
        <f t="shared" si="67"/>
        <v>452.84047341718883</v>
      </c>
      <c r="BJ189" s="264">
        <f t="shared" si="71"/>
        <v>20.159526582811139</v>
      </c>
      <c r="BK189" s="264" t="b">
        <f t="shared" si="68"/>
        <v>0</v>
      </c>
      <c r="BL189" s="266">
        <v>7</v>
      </c>
    </row>
    <row r="190" spans="1:133" ht="21" thickBot="1" x14ac:dyDescent="0.35">
      <c r="B190" s="244">
        <v>14</v>
      </c>
      <c r="C190" s="245"/>
      <c r="D190" s="16">
        <v>1</v>
      </c>
      <c r="E190" s="234" t="s">
        <v>215</v>
      </c>
      <c r="F190" s="235"/>
      <c r="G190" s="235">
        <f t="shared" si="45"/>
        <v>1</v>
      </c>
      <c r="H190" s="888">
        <v>251.073172</v>
      </c>
      <c r="I190" s="889">
        <v>65.636175100000003</v>
      </c>
      <c r="J190" s="374">
        <f t="shared" si="46"/>
        <v>64.636175100000003</v>
      </c>
      <c r="K190" s="374">
        <f t="shared" si="47"/>
        <v>32.318087550000001</v>
      </c>
      <c r="L190" s="374">
        <f t="shared" si="37"/>
        <v>0.53461916118589337</v>
      </c>
      <c r="M190" s="374">
        <f t="shared" si="38"/>
        <v>134.22852861092153</v>
      </c>
      <c r="N190" s="374">
        <f t="shared" si="39"/>
        <v>268.45705722184306</v>
      </c>
      <c r="O190" s="374">
        <f>+C177+D178+D179+D180+D181+D182+D183+D184+D185+D186+D187+D188+D189+(D190/2)</f>
        <v>13.5</v>
      </c>
      <c r="P190" s="374">
        <f t="shared" si="40"/>
        <v>0.23344536385590517</v>
      </c>
      <c r="Q190" s="374">
        <f t="shared" si="41"/>
        <v>62.670055402838706</v>
      </c>
      <c r="R190" s="374">
        <f t="shared" si="48"/>
        <v>605.23153371009153</v>
      </c>
      <c r="S190" s="374">
        <f t="shared" si="62"/>
        <v>667.9015891129302</v>
      </c>
      <c r="T190" s="375">
        <f t="shared" si="42"/>
        <v>667.9015891129302</v>
      </c>
      <c r="V190" s="929">
        <f t="shared" si="43"/>
        <v>0</v>
      </c>
      <c r="W190" s="340"/>
      <c r="X190" s="340"/>
      <c r="Y190" s="340"/>
      <c r="Z190" s="340"/>
      <c r="AA190" s="340"/>
      <c r="AB190" s="257" t="str">
        <f t="shared" si="49"/>
        <v>use the locking pin</v>
      </c>
      <c r="AC190" s="377"/>
      <c r="AD190" s="377"/>
      <c r="AE190" s="377"/>
      <c r="AF190" s="966">
        <f>SUM(V190:V202)/($B$174-B189)</f>
        <v>0</v>
      </c>
      <c r="AG190" s="971">
        <f>SUM(D178:D190)+$C$177</f>
        <v>14</v>
      </c>
      <c r="AH190" s="353"/>
      <c r="AI190" s="944">
        <f t="shared" si="50"/>
        <v>61.499008599999996</v>
      </c>
      <c r="AJ190" s="575">
        <f t="shared" si="44"/>
        <v>0.87880885615971105</v>
      </c>
      <c r="AK190" s="944">
        <f t="shared" si="51"/>
        <v>255.4195263780579</v>
      </c>
      <c r="AL190" s="944">
        <f t="shared" si="52"/>
        <v>71.181912400000002</v>
      </c>
      <c r="AM190" s="968">
        <f t="shared" si="53"/>
        <v>0.94654747747751544</v>
      </c>
      <c r="AN190" s="944">
        <f t="shared" si="54"/>
        <v>237.65267761887836</v>
      </c>
      <c r="AO190" s="969"/>
      <c r="AP190" s="251">
        <f t="shared" si="55"/>
        <v>-351.6</v>
      </c>
      <c r="AQ190" s="347"/>
      <c r="AR190" s="347">
        <f t="shared" si="56"/>
        <v>493.07220399693625</v>
      </c>
      <c r="AS190" s="348">
        <f t="shared" si="64"/>
        <v>-237.65267761887836</v>
      </c>
      <c r="AT190" s="348"/>
      <c r="AU190" s="348">
        <f t="shared" si="63"/>
        <v>237.65267761887836</v>
      </c>
      <c r="AV190" s="350">
        <f t="shared" si="57"/>
        <v>-182.13459356772657</v>
      </c>
      <c r="AW190" s="350">
        <f t="shared" si="58"/>
        <v>-169.46540643227343</v>
      </c>
      <c r="AX190" s="351">
        <f t="shared" si="59"/>
        <v>-63.689164001052617</v>
      </c>
      <c r="AY190" s="351">
        <f t="shared" si="60"/>
        <v>-59.009093422240625</v>
      </c>
      <c r="AZ190" s="241">
        <f t="shared" si="61"/>
        <v>63.689164001052617</v>
      </c>
      <c r="BA190" s="242">
        <f t="shared" si="61"/>
        <v>59.009093422240625</v>
      </c>
      <c r="BE190" s="260">
        <v>8</v>
      </c>
      <c r="BF190" s="261">
        <f t="shared" si="69"/>
        <v>-172</v>
      </c>
      <c r="BG190" s="31">
        <f t="shared" si="70"/>
        <v>-172</v>
      </c>
      <c r="BH190" s="263">
        <f t="shared" si="66"/>
        <v>-409.84047341718883</v>
      </c>
      <c r="BI190" s="264">
        <f t="shared" si="67"/>
        <v>409.84047341718883</v>
      </c>
      <c r="BJ190" s="264">
        <f t="shared" si="71"/>
        <v>20.159526582811139</v>
      </c>
      <c r="BK190" s="264" t="b">
        <f t="shared" si="68"/>
        <v>0</v>
      </c>
      <c r="BL190" s="266">
        <v>8</v>
      </c>
      <c r="BQ190" s="217"/>
      <c r="BR190" s="217"/>
      <c r="BS190" s="217"/>
      <c r="BT190" s="217"/>
      <c r="BU190" s="217"/>
      <c r="BV190" s="217"/>
      <c r="BW190" s="109"/>
      <c r="BX190" s="109"/>
      <c r="BY190" s="109"/>
      <c r="BZ190" s="109"/>
      <c r="CA190" s="109"/>
      <c r="CB190" s="217"/>
      <c r="CC190" s="217"/>
      <c r="CD190" s="217"/>
      <c r="CE190" s="109"/>
      <c r="CF190" s="109"/>
      <c r="CG190" s="109"/>
      <c r="CH190" s="109"/>
      <c r="CI190" s="109"/>
      <c r="CJ190" s="109"/>
      <c r="CK190" s="109"/>
      <c r="CL190" s="109"/>
      <c r="CM190" s="109"/>
      <c r="CN190" s="109"/>
      <c r="DE190" s="109"/>
      <c r="DG190" s="109"/>
      <c r="DI190" s="109"/>
    </row>
    <row r="191" spans="1:133" ht="21" thickBot="1" x14ac:dyDescent="0.35">
      <c r="B191" s="244">
        <v>15</v>
      </c>
      <c r="C191" s="245"/>
      <c r="D191" s="16">
        <v>1</v>
      </c>
      <c r="E191" s="234" t="s">
        <v>215</v>
      </c>
      <c r="F191" s="235"/>
      <c r="G191" s="235">
        <f t="shared" si="45"/>
        <v>1</v>
      </c>
      <c r="H191" s="888">
        <v>251.073172</v>
      </c>
      <c r="I191" s="889">
        <v>65.636175100000003</v>
      </c>
      <c r="J191" s="374">
        <f t="shared" si="46"/>
        <v>64.636175100000003</v>
      </c>
      <c r="K191" s="374">
        <f t="shared" si="47"/>
        <v>32.318087550000001</v>
      </c>
      <c r="L191" s="374">
        <f t="shared" si="37"/>
        <v>0.53461916118589337</v>
      </c>
      <c r="M191" s="374">
        <f t="shared" si="38"/>
        <v>134.22852861092153</v>
      </c>
      <c r="N191" s="374">
        <f t="shared" si="39"/>
        <v>268.45705722184306</v>
      </c>
      <c r="O191" s="374">
        <f>+C177+D178+D179+D180+D181+D182+D183+D184+D185+D186+D187+D188+D189+D190+(D191/2)</f>
        <v>14.5</v>
      </c>
      <c r="P191" s="374">
        <f t="shared" si="40"/>
        <v>0.25038000405444116</v>
      </c>
      <c r="Q191" s="374">
        <f t="shared" si="41"/>
        <v>67.216279075648401</v>
      </c>
      <c r="R191" s="374">
        <f t="shared" si="48"/>
        <v>667.9015891129302</v>
      </c>
      <c r="S191" s="374">
        <f t="shared" si="62"/>
        <v>735.11786818857854</v>
      </c>
      <c r="T191" s="375">
        <f t="shared" si="42"/>
        <v>735.11786818857854</v>
      </c>
      <c r="V191" s="929">
        <f t="shared" si="43"/>
        <v>0</v>
      </c>
      <c r="W191" s="340"/>
      <c r="X191" s="340"/>
      <c r="Y191" s="340"/>
      <c r="Z191" s="340"/>
      <c r="AA191" s="340"/>
      <c r="AB191" s="257" t="str">
        <f t="shared" si="49"/>
        <v>use the locking pin</v>
      </c>
      <c r="AC191" s="377"/>
      <c r="AD191" s="377"/>
      <c r="AE191" s="377"/>
      <c r="AF191" s="966">
        <f>SUM(V191:V202)/($B$174-B190)</f>
        <v>0</v>
      </c>
      <c r="AG191" s="971">
        <f>SUM(D178:D191)+$C$177</f>
        <v>15</v>
      </c>
      <c r="AH191" s="353"/>
      <c r="AI191" s="944">
        <f t="shared" si="50"/>
        <v>60.499008599999996</v>
      </c>
      <c r="AJ191" s="575">
        <f t="shared" si="44"/>
        <v>0.87034717530911587</v>
      </c>
      <c r="AK191" s="944">
        <f t="shared" si="51"/>
        <v>252.96019918754024</v>
      </c>
      <c r="AL191" s="944">
        <f t="shared" si="52"/>
        <v>72.181912400000002</v>
      </c>
      <c r="AM191" s="968">
        <f t="shared" si="53"/>
        <v>0.95203284090704099</v>
      </c>
      <c r="AN191" s="944">
        <f t="shared" si="54"/>
        <v>239.02990521470213</v>
      </c>
      <c r="AO191" s="969"/>
      <c r="AP191" s="251">
        <f t="shared" si="55"/>
        <v>-380.90000000000003</v>
      </c>
      <c r="AQ191" s="347"/>
      <c r="AR191" s="347">
        <f t="shared" si="56"/>
        <v>491.99010440224237</v>
      </c>
      <c r="AS191" s="348">
        <f t="shared" si="64"/>
        <v>-239.02990521470213</v>
      </c>
      <c r="AT191" s="348"/>
      <c r="AU191" s="348">
        <f t="shared" si="63"/>
        <v>239.02990521470213</v>
      </c>
      <c r="AV191" s="350">
        <f t="shared" si="57"/>
        <v>-195.842434651405</v>
      </c>
      <c r="AW191" s="350">
        <f t="shared" si="58"/>
        <v>-185.05756534859501</v>
      </c>
      <c r="AX191" s="351">
        <f t="shared" si="59"/>
        <v>-59.231289789915714</v>
      </c>
      <c r="AY191" s="351">
        <f t="shared" si="60"/>
        <v>-54.037239607918153</v>
      </c>
      <c r="AZ191" s="241">
        <f t="shared" si="61"/>
        <v>59.231289789915714</v>
      </c>
      <c r="BA191" s="242">
        <f t="shared" si="61"/>
        <v>54.037239607918153</v>
      </c>
      <c r="BE191" s="260">
        <v>9</v>
      </c>
      <c r="BF191" s="261">
        <f t="shared" si="69"/>
        <v>-129</v>
      </c>
      <c r="BG191" s="31">
        <f t="shared" si="70"/>
        <v>-129</v>
      </c>
      <c r="BH191" s="263">
        <f t="shared" si="66"/>
        <v>-366.84047341718883</v>
      </c>
      <c r="BI191" s="264">
        <f t="shared" si="67"/>
        <v>366.84047341718883</v>
      </c>
      <c r="BJ191" s="264">
        <f t="shared" si="71"/>
        <v>20.159526582811139</v>
      </c>
      <c r="BK191" s="264" t="b">
        <f t="shared" si="68"/>
        <v>0</v>
      </c>
      <c r="BL191" s="266">
        <v>9</v>
      </c>
      <c r="BQ191" s="217"/>
      <c r="BR191" s="217"/>
      <c r="BS191" s="217"/>
      <c r="BT191" s="217"/>
      <c r="BU191" s="217"/>
      <c r="BV191" s="217"/>
      <c r="CA191" s="217"/>
      <c r="CB191" s="217"/>
      <c r="CC191" s="217"/>
      <c r="CD191" s="217"/>
      <c r="CI191" s="217"/>
      <c r="CJ191" s="217"/>
      <c r="CK191" s="217"/>
      <c r="CL191" s="217"/>
      <c r="CM191" s="217"/>
      <c r="CN191" s="217"/>
      <c r="DE191" s="109"/>
      <c r="DI191" s="109"/>
    </row>
    <row r="192" spans="1:133" ht="21" thickBot="1" x14ac:dyDescent="0.35">
      <c r="B192" s="244">
        <v>16</v>
      </c>
      <c r="C192" s="245"/>
      <c r="D192" s="16">
        <v>1</v>
      </c>
      <c r="E192" s="234" t="s">
        <v>215</v>
      </c>
      <c r="F192" s="235"/>
      <c r="G192" s="235">
        <f t="shared" si="45"/>
        <v>1</v>
      </c>
      <c r="H192" s="888">
        <v>251.073172</v>
      </c>
      <c r="I192" s="889">
        <v>65.636175100000003</v>
      </c>
      <c r="J192" s="374">
        <f t="shared" si="46"/>
        <v>64.636175100000003</v>
      </c>
      <c r="K192" s="374">
        <f t="shared" si="47"/>
        <v>32.318087550000001</v>
      </c>
      <c r="L192" s="374">
        <f t="shared" si="37"/>
        <v>0.53461916118589337</v>
      </c>
      <c r="M192" s="374">
        <f t="shared" si="38"/>
        <v>134.22852861092153</v>
      </c>
      <c r="N192" s="374">
        <f t="shared" si="39"/>
        <v>268.45705722184306</v>
      </c>
      <c r="O192" s="374">
        <f>+C177+D178+D179+D180+D181+D182+D183+D184+D185+D186+D187+D188+D189+D190+D191+(D192/2)</f>
        <v>15.5</v>
      </c>
      <c r="P192" s="374">
        <f t="shared" si="40"/>
        <v>0.26723837607825657</v>
      </c>
      <c r="Q192" s="374">
        <f t="shared" si="41"/>
        <v>71.742028018712944</v>
      </c>
      <c r="R192" s="374">
        <f t="shared" si="48"/>
        <v>735.11786818857854</v>
      </c>
      <c r="S192" s="374">
        <f t="shared" si="62"/>
        <v>806.85989620729151</v>
      </c>
      <c r="T192" s="375">
        <f t="shared" si="42"/>
        <v>806.85989620729151</v>
      </c>
      <c r="V192" s="929">
        <f t="shared" si="43"/>
        <v>0</v>
      </c>
      <c r="W192" s="340"/>
      <c r="X192" s="340"/>
      <c r="Y192" s="340"/>
      <c r="Z192" s="340"/>
      <c r="AA192" s="340"/>
      <c r="AB192" s="257" t="str">
        <f t="shared" si="49"/>
        <v>use the locking pin</v>
      </c>
      <c r="AC192" s="377"/>
      <c r="AD192" s="377"/>
      <c r="AE192" s="377"/>
      <c r="AF192" s="966">
        <f>SUM(V192:V202)/($B$174-B191)</f>
        <v>0</v>
      </c>
      <c r="AG192" s="971">
        <f>SUM(D178:D192)+$C$177</f>
        <v>16</v>
      </c>
      <c r="AH192" s="353"/>
      <c r="AI192" s="944">
        <f t="shared" si="50"/>
        <v>59.499008599999996</v>
      </c>
      <c r="AJ192" s="575">
        <f t="shared" si="44"/>
        <v>0.86162037827767901</v>
      </c>
      <c r="AK192" s="944">
        <f t="shared" si="51"/>
        <v>250.42381786986954</v>
      </c>
      <c r="AL192" s="944">
        <f t="shared" si="52"/>
        <v>73.181912400000002</v>
      </c>
      <c r="AM192" s="968">
        <f t="shared" si="53"/>
        <v>0.95722820591067703</v>
      </c>
      <c r="AN192" s="944">
        <f t="shared" si="54"/>
        <v>240.33432198586283</v>
      </c>
      <c r="AO192" s="969"/>
      <c r="AP192" s="251">
        <f t="shared" si="55"/>
        <v>-410.2</v>
      </c>
      <c r="AQ192" s="347"/>
      <c r="AR192" s="347">
        <f t="shared" si="56"/>
        <v>490.75813985573234</v>
      </c>
      <c r="AS192" s="348">
        <f t="shared" si="64"/>
        <v>-240.33432198586283</v>
      </c>
      <c r="AT192" s="348"/>
      <c r="AU192" s="348">
        <f t="shared" si="63"/>
        <v>240.33432198586283</v>
      </c>
      <c r="AV192" s="350">
        <f t="shared" si="57"/>
        <v>-209.31665060189954</v>
      </c>
      <c r="AW192" s="350">
        <f t="shared" si="58"/>
        <v>-200.88334939810045</v>
      </c>
      <c r="AX192" s="351">
        <f t="shared" si="59"/>
        <v>-55.418429287128724</v>
      </c>
      <c r="AY192" s="351">
        <f t="shared" si="60"/>
        <v>-49.780133744098954</v>
      </c>
      <c r="AZ192" s="241">
        <f t="shared" si="61"/>
        <v>55.418429287128724</v>
      </c>
      <c r="BA192" s="242">
        <f t="shared" si="61"/>
        <v>49.780133744098954</v>
      </c>
      <c r="BE192" s="260">
        <v>10</v>
      </c>
      <c r="BF192" s="261">
        <f t="shared" si="69"/>
        <v>-86</v>
      </c>
      <c r="BG192" s="31">
        <f t="shared" si="70"/>
        <v>-86</v>
      </c>
      <c r="BH192" s="263">
        <f t="shared" si="66"/>
        <v>-323.84047341718883</v>
      </c>
      <c r="BI192" s="264">
        <f t="shared" si="67"/>
        <v>323.84047341718883</v>
      </c>
      <c r="BJ192" s="264">
        <f t="shared" si="71"/>
        <v>20.159526582811139</v>
      </c>
      <c r="BK192" s="264" t="b">
        <f t="shared" si="68"/>
        <v>0</v>
      </c>
      <c r="BL192" s="266">
        <v>10</v>
      </c>
      <c r="DE192" s="109"/>
      <c r="DF192" s="273"/>
      <c r="DG192" s="273"/>
      <c r="DH192" s="273"/>
      <c r="DI192" s="273"/>
      <c r="DJ192" s="273"/>
      <c r="DK192" s="273"/>
      <c r="DL192" s="273"/>
      <c r="DM192" s="273"/>
      <c r="DN192" s="273"/>
      <c r="DO192" s="273"/>
      <c r="DP192" s="273"/>
      <c r="DQ192" s="273"/>
      <c r="DR192" s="273"/>
      <c r="DS192" s="273"/>
      <c r="DT192" s="273"/>
      <c r="DU192" s="273"/>
      <c r="DV192" s="273"/>
      <c r="DW192" s="273"/>
      <c r="DX192" s="273"/>
      <c r="DY192" s="273"/>
      <c r="DZ192" s="273"/>
      <c r="EA192" s="273"/>
      <c r="EB192" s="273"/>
      <c r="EC192" s="273"/>
    </row>
    <row r="193" spans="2:133" ht="21" thickBot="1" x14ac:dyDescent="0.35">
      <c r="B193" s="244">
        <v>17</v>
      </c>
      <c r="C193" s="245"/>
      <c r="D193" s="16">
        <v>1</v>
      </c>
      <c r="E193" s="234" t="s">
        <v>215</v>
      </c>
      <c r="F193" s="235"/>
      <c r="G193" s="235">
        <f t="shared" si="45"/>
        <v>1</v>
      </c>
      <c r="H193" s="888">
        <v>251.073172</v>
      </c>
      <c r="I193" s="889">
        <v>65.636175100000003</v>
      </c>
      <c r="J193" s="374">
        <f t="shared" si="46"/>
        <v>64.636175100000003</v>
      </c>
      <c r="K193" s="374">
        <f t="shared" si="47"/>
        <v>32.318087550000001</v>
      </c>
      <c r="L193" s="374">
        <f t="shared" si="37"/>
        <v>0.53461916118589337</v>
      </c>
      <c r="M193" s="374">
        <f t="shared" si="38"/>
        <v>134.22852861092153</v>
      </c>
      <c r="N193" s="374">
        <f t="shared" si="39"/>
        <v>268.45705722184306</v>
      </c>
      <c r="O193" s="374">
        <f>+C177+D178+D179+D180+D181+D182+D183+D184+D185+D186+D187+D188+D189+D190+D191+D192+(D193/2)</f>
        <v>16.5</v>
      </c>
      <c r="P193" s="374">
        <f t="shared" si="40"/>
        <v>0.28401534470392237</v>
      </c>
      <c r="Q193" s="374">
        <f t="shared" si="41"/>
        <v>76.245923645062362</v>
      </c>
      <c r="R193" s="374">
        <f t="shared" si="48"/>
        <v>806.85989620729151</v>
      </c>
      <c r="S193" s="374">
        <f t="shared" si="62"/>
        <v>883.10581985235387</v>
      </c>
      <c r="T193" s="375">
        <f t="shared" si="42"/>
        <v>883.10581985235387</v>
      </c>
      <c r="V193" s="929">
        <f t="shared" si="43"/>
        <v>0</v>
      </c>
      <c r="W193" s="340"/>
      <c r="X193" s="340"/>
      <c r="Y193" s="340"/>
      <c r="Z193" s="340"/>
      <c r="AA193" s="340"/>
      <c r="AB193" s="257" t="str">
        <f t="shared" si="49"/>
        <v>use the locking pin</v>
      </c>
      <c r="AC193" s="377"/>
      <c r="AD193" s="377"/>
      <c r="AE193" s="377"/>
      <c r="AF193" s="966">
        <f>SUM(V193:V202)/($B$174-B192)</f>
        <v>0</v>
      </c>
      <c r="AG193" s="971">
        <f>SUM(D178:D193)+$C$177</f>
        <v>17</v>
      </c>
      <c r="AH193" s="353"/>
      <c r="AI193" s="944">
        <f t="shared" si="50"/>
        <v>58.499008599999996</v>
      </c>
      <c r="AJ193" s="575">
        <f t="shared" si="44"/>
        <v>0.85263112333231494</v>
      </c>
      <c r="AK193" s="944">
        <f t="shared" si="51"/>
        <v>247.81115503136576</v>
      </c>
      <c r="AL193" s="944">
        <f t="shared" si="52"/>
        <v>74.181912400000002</v>
      </c>
      <c r="AM193" s="968">
        <f t="shared" si="53"/>
        <v>0.96213198992991489</v>
      </c>
      <c r="AN193" s="944">
        <f t="shared" si="54"/>
        <v>241.56553059437579</v>
      </c>
      <c r="AO193" s="969"/>
      <c r="AP193" s="251">
        <f t="shared" si="55"/>
        <v>-439.5</v>
      </c>
      <c r="AQ193" s="347"/>
      <c r="AR193" s="347">
        <f t="shared" si="56"/>
        <v>489.37668562574152</v>
      </c>
      <c r="AS193" s="348">
        <f t="shared" si="64"/>
        <v>-241.56553059437579</v>
      </c>
      <c r="AT193" s="348"/>
      <c r="AU193" s="348">
        <f t="shared" si="63"/>
        <v>241.56553059437579</v>
      </c>
      <c r="AV193" s="350">
        <f t="shared" si="57"/>
        <v>-222.55453893767663</v>
      </c>
      <c r="AW193" s="350">
        <f t="shared" si="58"/>
        <v>-216.94546106232335</v>
      </c>
      <c r="AX193" s="351">
        <f t="shared" si="59"/>
        <v>-52.122055363914292</v>
      </c>
      <c r="AY193" s="351">
        <f t="shared" si="60"/>
        <v>-46.094534317669982</v>
      </c>
      <c r="AZ193" s="241">
        <f t="shared" si="61"/>
        <v>52.122055363914292</v>
      </c>
      <c r="BA193" s="242">
        <f t="shared" si="61"/>
        <v>46.094534317669982</v>
      </c>
      <c r="BE193" s="260">
        <v>11</v>
      </c>
      <c r="BF193" s="261">
        <f t="shared" si="69"/>
        <v>-43</v>
      </c>
      <c r="BG193" s="31">
        <f t="shared" si="70"/>
        <v>-43</v>
      </c>
      <c r="BH193" s="263">
        <f t="shared" si="66"/>
        <v>-280.84047341718883</v>
      </c>
      <c r="BI193" s="264">
        <f t="shared" si="67"/>
        <v>280.84047341718883</v>
      </c>
      <c r="BJ193" s="264">
        <f t="shared" si="71"/>
        <v>20.159526582811139</v>
      </c>
      <c r="BK193" s="264" t="b">
        <f t="shared" si="68"/>
        <v>0</v>
      </c>
      <c r="BL193" s="266">
        <v>11</v>
      </c>
      <c r="DE193" s="109"/>
    </row>
    <row r="194" spans="2:133" ht="21" thickBot="1" x14ac:dyDescent="0.35">
      <c r="B194" s="244">
        <v>18</v>
      </c>
      <c r="C194" s="245"/>
      <c r="D194" s="16">
        <v>1</v>
      </c>
      <c r="E194" s="234" t="s">
        <v>215</v>
      </c>
      <c r="F194" s="235"/>
      <c r="G194" s="235">
        <f t="shared" si="45"/>
        <v>1</v>
      </c>
      <c r="H194" s="888">
        <v>251.073172</v>
      </c>
      <c r="I194" s="889">
        <v>65.636175100000003</v>
      </c>
      <c r="J194" s="374">
        <f t="shared" si="46"/>
        <v>64.636175100000003</v>
      </c>
      <c r="K194" s="374">
        <f t="shared" si="47"/>
        <v>32.318087550000001</v>
      </c>
      <c r="L194" s="374">
        <f t="shared" si="37"/>
        <v>0.53461916118589337</v>
      </c>
      <c r="M194" s="374">
        <f t="shared" si="38"/>
        <v>134.22852861092153</v>
      </c>
      <c r="N194" s="374">
        <f t="shared" si="39"/>
        <v>268.45705722184306</v>
      </c>
      <c r="O194" s="374">
        <f>+C177+D178+D179+D180+D181+D182+D183+D184+D185+D186+D187+D188+D189+D190+D191+D192+D193+(D194/2)</f>
        <v>17.5</v>
      </c>
      <c r="P194" s="374">
        <f t="shared" si="40"/>
        <v>0.30070579950427284</v>
      </c>
      <c r="Q194" s="374">
        <f t="shared" si="41"/>
        <v>80.726594024458635</v>
      </c>
      <c r="R194" s="374">
        <f t="shared" si="48"/>
        <v>883.10581985235387</v>
      </c>
      <c r="S194" s="374">
        <f t="shared" si="62"/>
        <v>963.83241387681255</v>
      </c>
      <c r="T194" s="375">
        <f t="shared" si="42"/>
        <v>963.83241387681255</v>
      </c>
      <c r="V194" s="929">
        <f t="shared" si="43"/>
        <v>0</v>
      </c>
      <c r="W194" s="340"/>
      <c r="X194" s="340"/>
      <c r="Y194" s="340"/>
      <c r="Z194" s="340"/>
      <c r="AA194" s="340"/>
      <c r="AB194" s="257" t="str">
        <f t="shared" si="49"/>
        <v>use the locking pin</v>
      </c>
      <c r="AC194" s="377"/>
      <c r="AD194" s="377"/>
      <c r="AE194" s="377"/>
      <c r="AF194" s="966">
        <f>SUM(V194:V202)/($B$174-B193)</f>
        <v>0</v>
      </c>
      <c r="AG194" s="971">
        <f>SUM(D178:D194)+$C$177</f>
        <v>18</v>
      </c>
      <c r="AH194" s="353"/>
      <c r="AI194" s="944">
        <f t="shared" si="50"/>
        <v>57.499008599999996</v>
      </c>
      <c r="AJ194" s="575">
        <f t="shared" si="44"/>
        <v>0.84338214868716044</v>
      </c>
      <c r="AK194" s="944">
        <f t="shared" si="51"/>
        <v>245.12300651443877</v>
      </c>
      <c r="AL194" s="944">
        <f t="shared" si="52"/>
        <v>75.181912400000002</v>
      </c>
      <c r="AM194" s="968">
        <f t="shared" si="53"/>
        <v>0.96674269922463818</v>
      </c>
      <c r="AN194" s="944">
        <f t="shared" si="54"/>
        <v>242.72315600217186</v>
      </c>
      <c r="AO194" s="969"/>
      <c r="AP194" s="251">
        <f t="shared" si="55"/>
        <v>-468.8</v>
      </c>
      <c r="AQ194" s="347"/>
      <c r="AR194" s="347">
        <f t="shared" si="56"/>
        <v>487.84616251661066</v>
      </c>
      <c r="AS194" s="348">
        <f t="shared" si="64"/>
        <v>-242.72315600217186</v>
      </c>
      <c r="AT194" s="348"/>
      <c r="AU194" s="348">
        <f t="shared" si="63"/>
        <v>242.72315600217186</v>
      </c>
      <c r="AV194" s="350">
        <f t="shared" si="57"/>
        <v>-235.5530785794717</v>
      </c>
      <c r="AW194" s="350">
        <f t="shared" si="58"/>
        <v>-233.24692142052831</v>
      </c>
      <c r="AX194" s="351">
        <f t="shared" si="59"/>
        <v>-49.245800861338999</v>
      </c>
      <c r="AY194" s="351">
        <f t="shared" si="60"/>
        <v>-42.873020312969885</v>
      </c>
      <c r="AZ194" s="241">
        <f t="shared" si="61"/>
        <v>49.245800861338999</v>
      </c>
      <c r="BA194" s="242">
        <f t="shared" si="61"/>
        <v>42.873020312969885</v>
      </c>
      <c r="BE194" s="260">
        <v>12</v>
      </c>
      <c r="BF194" s="261">
        <f t="shared" si="69"/>
        <v>0</v>
      </c>
      <c r="BG194" s="31">
        <f t="shared" si="70"/>
        <v>0</v>
      </c>
      <c r="BH194" s="263">
        <f t="shared" si="66"/>
        <v>-237.84047341718886</v>
      </c>
      <c r="BI194" s="264">
        <f t="shared" si="67"/>
        <v>237.84047341718886</v>
      </c>
      <c r="BJ194" s="264">
        <f t="shared" si="71"/>
        <v>20.159526582811139</v>
      </c>
      <c r="BK194" s="264" t="b">
        <f t="shared" si="68"/>
        <v>0</v>
      </c>
      <c r="BL194" s="266">
        <v>12</v>
      </c>
      <c r="DE194" s="216"/>
      <c r="DF194" s="274"/>
      <c r="DG194" s="274"/>
      <c r="DH194" s="274"/>
      <c r="DI194" s="274"/>
      <c r="DJ194" s="274"/>
      <c r="DK194" s="274"/>
      <c r="DL194" s="274"/>
      <c r="DM194" s="274"/>
      <c r="DN194" s="274"/>
      <c r="DO194" s="274"/>
      <c r="DP194" s="274"/>
      <c r="DQ194" s="274"/>
      <c r="DR194" s="274"/>
      <c r="DS194" s="274"/>
      <c r="DT194" s="274"/>
      <c r="DU194" s="274"/>
      <c r="DV194" s="274"/>
      <c r="DW194" s="274"/>
      <c r="DX194" s="274"/>
      <c r="DY194" s="274"/>
      <c r="DZ194" s="274"/>
      <c r="EA194" s="274"/>
      <c r="EB194" s="274"/>
      <c r="EC194" s="274"/>
    </row>
    <row r="195" spans="2:133" ht="21" thickBot="1" x14ac:dyDescent="0.35">
      <c r="B195" s="244">
        <v>19</v>
      </c>
      <c r="C195" s="245"/>
      <c r="D195" s="16">
        <v>1</v>
      </c>
      <c r="E195" s="234" t="s">
        <v>215</v>
      </c>
      <c r="F195" s="235"/>
      <c r="G195" s="235">
        <f t="shared" si="45"/>
        <v>1</v>
      </c>
      <c r="H195" s="888">
        <v>251.073172</v>
      </c>
      <c r="I195" s="889">
        <v>65.636175100000003</v>
      </c>
      <c r="J195" s="374">
        <f t="shared" si="46"/>
        <v>64.636175100000003</v>
      </c>
      <c r="K195" s="374">
        <f t="shared" si="47"/>
        <v>32.318087550000001</v>
      </c>
      <c r="L195" s="374">
        <f t="shared" si="37"/>
        <v>0.53461916118589337</v>
      </c>
      <c r="M195" s="374">
        <f t="shared" si="38"/>
        <v>134.22852861092153</v>
      </c>
      <c r="N195" s="374">
        <f t="shared" si="39"/>
        <v>268.45705722184306</v>
      </c>
      <c r="O195" s="374">
        <f>+C177+D178+D179+D180+D181+D182+D183+D184+D185+D186+D187+D188+D189+D190+D191+D192+D193+D194+(D195/2)</f>
        <v>18.5</v>
      </c>
      <c r="P195" s="374">
        <f t="shared" si="40"/>
        <v>0.31730465640509181</v>
      </c>
      <c r="Q195" s="374">
        <f t="shared" si="41"/>
        <v>85.182674301298988</v>
      </c>
      <c r="R195" s="374">
        <f t="shared" si="48"/>
        <v>963.83241387681255</v>
      </c>
      <c r="S195" s="374">
        <f t="shared" si="62"/>
        <v>1049.0150881781115</v>
      </c>
      <c r="T195" s="375">
        <f t="shared" si="42"/>
        <v>1049.0150881781115</v>
      </c>
      <c r="V195" s="929">
        <f t="shared" si="43"/>
        <v>0</v>
      </c>
      <c r="W195" s="340"/>
      <c r="X195" s="340"/>
      <c r="Y195" s="340"/>
      <c r="Z195" s="340"/>
      <c r="AA195" s="340"/>
      <c r="AB195" s="235" t="str">
        <f t="shared" si="49"/>
        <v>use the locking pin</v>
      </c>
      <c r="AC195" s="377"/>
      <c r="AD195" s="377"/>
      <c r="AE195" s="377"/>
      <c r="AF195" s="966">
        <f>SUM(V195:V202)/($B$174-B194)</f>
        <v>0</v>
      </c>
      <c r="AG195" s="971">
        <f>SUM(D178:D195)+$C$177</f>
        <v>19</v>
      </c>
      <c r="AH195" s="353"/>
      <c r="AI195" s="944">
        <f t="shared" si="50"/>
        <v>56.499008599999996</v>
      </c>
      <c r="AJ195" s="575">
        <f t="shared" si="44"/>
        <v>0.83387627166948974</v>
      </c>
      <c r="AK195" s="944">
        <f t="shared" si="51"/>
        <v>242.36019115516766</v>
      </c>
      <c r="AL195" s="944">
        <f t="shared" si="52"/>
        <v>76.181912400000002</v>
      </c>
      <c r="AM195" s="968">
        <f t="shared" si="53"/>
        <v>0.97105892932813076</v>
      </c>
      <c r="AN195" s="944">
        <f t="shared" si="54"/>
        <v>243.80684558533761</v>
      </c>
      <c r="AO195" s="969"/>
      <c r="AP195" s="251">
        <f t="shared" si="55"/>
        <v>-498.1</v>
      </c>
      <c r="AQ195" s="347"/>
      <c r="AR195" s="347">
        <f t="shared" si="56"/>
        <v>486.1670367405053</v>
      </c>
      <c r="AS195" s="348">
        <f t="shared" si="64"/>
        <v>-243.80684558533761</v>
      </c>
      <c r="AT195" s="348"/>
      <c r="AU195" s="348">
        <f t="shared" si="63"/>
        <v>243.80684558533761</v>
      </c>
      <c r="AV195" s="350">
        <f t="shared" si="57"/>
        <v>-248.30891872832561</v>
      </c>
      <c r="AW195" s="350">
        <f t="shared" si="58"/>
        <v>-249.79108127167441</v>
      </c>
      <c r="AX195" s="351">
        <f t="shared" si="59"/>
        <v>-46.716002225806243</v>
      </c>
      <c r="AY195" s="351">
        <f t="shared" si="60"/>
        <v>-40.033454953997875</v>
      </c>
      <c r="AZ195" s="241">
        <f t="shared" si="61"/>
        <v>46.716002225806243</v>
      </c>
      <c r="BA195" s="242">
        <f t="shared" si="61"/>
        <v>40.033454953997875</v>
      </c>
      <c r="BE195" s="260">
        <v>13</v>
      </c>
      <c r="BF195" s="261">
        <f t="shared" si="69"/>
        <v>43</v>
      </c>
      <c r="BG195" s="31">
        <f t="shared" si="70"/>
        <v>43</v>
      </c>
      <c r="BH195" s="263">
        <f t="shared" si="66"/>
        <v>-194.84047341718886</v>
      </c>
      <c r="BI195" s="264">
        <f t="shared" si="67"/>
        <v>194.84047341718886</v>
      </c>
      <c r="BJ195" s="264">
        <f t="shared" si="71"/>
        <v>20.159526582811139</v>
      </c>
      <c r="BK195" s="264" t="b">
        <f t="shared" si="68"/>
        <v>0</v>
      </c>
      <c r="BL195" s="266">
        <v>13</v>
      </c>
      <c r="DE195" s="109"/>
      <c r="DF195" s="186"/>
      <c r="DG195" s="186"/>
      <c r="DH195" s="186"/>
      <c r="DI195" s="186"/>
      <c r="DJ195" s="186"/>
      <c r="DK195" s="186"/>
      <c r="DL195" s="186"/>
      <c r="DM195" s="186"/>
      <c r="DN195" s="186"/>
      <c r="DO195" s="186"/>
      <c r="DP195" s="186"/>
      <c r="DQ195" s="186"/>
      <c r="DR195" s="186"/>
      <c r="DS195" s="186"/>
      <c r="DT195" s="186"/>
      <c r="DU195" s="186"/>
      <c r="DV195" s="186"/>
      <c r="DW195" s="186"/>
      <c r="DX195" s="186"/>
      <c r="DY195" s="186"/>
      <c r="DZ195" s="186"/>
      <c r="EA195" s="186"/>
      <c r="EB195" s="186"/>
      <c r="EC195" s="186"/>
    </row>
    <row r="196" spans="2:133" ht="21" thickBot="1" x14ac:dyDescent="0.35">
      <c r="B196" s="244">
        <v>20</v>
      </c>
      <c r="C196" s="245"/>
      <c r="D196" s="16">
        <v>1</v>
      </c>
      <c r="E196" s="234" t="s">
        <v>215</v>
      </c>
      <c r="F196" s="235"/>
      <c r="G196" s="235">
        <f t="shared" si="45"/>
        <v>1</v>
      </c>
      <c r="H196" s="888">
        <v>251.073172</v>
      </c>
      <c r="I196" s="889">
        <v>65.636175100000003</v>
      </c>
      <c r="J196" s="374">
        <f t="shared" si="46"/>
        <v>64.636175100000003</v>
      </c>
      <c r="K196" s="374">
        <f t="shared" si="47"/>
        <v>32.318087550000001</v>
      </c>
      <c r="L196" s="374">
        <f t="shared" si="37"/>
        <v>0.53461916118589337</v>
      </c>
      <c r="M196" s="374">
        <f t="shared" si="38"/>
        <v>134.22852861092153</v>
      </c>
      <c r="N196" s="374">
        <f t="shared" si="39"/>
        <v>268.45705722184306</v>
      </c>
      <c r="O196" s="48">
        <f>+C177+D178+D179+D180+D181+D182+D183+D184+D185+D186+D187+D188+D189+D190+D191+D192+D193+D194+D195+(D196/2)</f>
        <v>19.5</v>
      </c>
      <c r="P196" s="374">
        <f t="shared" si="40"/>
        <v>0.33380685923377057</v>
      </c>
      <c r="Q196" s="374">
        <f t="shared" si="41"/>
        <v>89.612807110364059</v>
      </c>
      <c r="R196" s="374">
        <f t="shared" si="48"/>
        <v>1049.0150881781115</v>
      </c>
      <c r="S196" s="374">
        <f t="shared" si="62"/>
        <v>1138.6278952884754</v>
      </c>
      <c r="T196" s="375">
        <f t="shared" si="42"/>
        <v>1138.6278952884754</v>
      </c>
      <c r="V196" s="929">
        <f t="shared" si="43"/>
        <v>0</v>
      </c>
      <c r="W196" s="340"/>
      <c r="X196" s="340"/>
      <c r="Y196" s="340"/>
      <c r="Z196" s="340"/>
      <c r="AA196" s="340"/>
      <c r="AB196" s="248" t="str">
        <f t="shared" si="49"/>
        <v>use the locking pin</v>
      </c>
      <c r="AC196" s="377"/>
      <c r="AD196" s="377"/>
      <c r="AE196" s="377"/>
      <c r="AF196" s="966">
        <f>SUM(V196:V202)/($B$174-B195)</f>
        <v>0</v>
      </c>
      <c r="AG196" s="971">
        <f>SUM(D178:D196)+$C$177</f>
        <v>20</v>
      </c>
      <c r="AH196" s="353"/>
      <c r="AI196" s="944">
        <f t="shared" si="50"/>
        <v>55.499008599999996</v>
      </c>
      <c r="AJ196" s="575">
        <f t="shared" si="44"/>
        <v>0.82411638786152763</v>
      </c>
      <c r="AK196" s="944">
        <f t="shared" si="51"/>
        <v>239.52355053387478</v>
      </c>
      <c r="AL196" s="944">
        <f t="shared" si="52"/>
        <v>77.181912400000002</v>
      </c>
      <c r="AM196" s="968">
        <f t="shared" si="53"/>
        <v>0.97507936547489105</v>
      </c>
      <c r="AN196" s="944">
        <f t="shared" si="54"/>
        <v>244.81626924152818</v>
      </c>
      <c r="AO196" s="969"/>
      <c r="AP196" s="251">
        <f t="shared" si="55"/>
        <v>-527.4</v>
      </c>
      <c r="AQ196" s="347"/>
      <c r="AR196" s="347">
        <f t="shared" si="56"/>
        <v>484.33981977540293</v>
      </c>
      <c r="AS196" s="348">
        <f t="shared" si="64"/>
        <v>-244.81626924152818</v>
      </c>
      <c r="AT196" s="348"/>
      <c r="AU196" s="348">
        <f t="shared" si="63"/>
        <v>244.81626924152818</v>
      </c>
      <c r="AV196" s="350">
        <f t="shared" si="57"/>
        <v>-260.81836634895018</v>
      </c>
      <c r="AW196" s="350">
        <f t="shared" si="58"/>
        <v>-266.58163365104986</v>
      </c>
      <c r="AX196" s="351">
        <f t="shared" si="59"/>
        <v>-44.475395511374003</v>
      </c>
      <c r="AY196" s="351">
        <f t="shared" si="60"/>
        <v>-37.511961582056344</v>
      </c>
      <c r="AZ196" s="241">
        <f t="shared" si="61"/>
        <v>44.475395511374003</v>
      </c>
      <c r="BA196" s="242">
        <f t="shared" si="61"/>
        <v>37.511961582056344</v>
      </c>
      <c r="BE196" s="260">
        <v>14</v>
      </c>
      <c r="BF196" s="261">
        <f t="shared" si="69"/>
        <v>86</v>
      </c>
      <c r="BG196" s="31">
        <f t="shared" si="70"/>
        <v>86</v>
      </c>
      <c r="BH196" s="263">
        <f t="shared" si="66"/>
        <v>-151.84047341718886</v>
      </c>
      <c r="BI196" s="264">
        <f t="shared" si="67"/>
        <v>151.84047341718886</v>
      </c>
      <c r="BJ196" s="264">
        <f t="shared" si="71"/>
        <v>20.159526582811139</v>
      </c>
      <c r="BK196" s="264" t="b">
        <f t="shared" si="68"/>
        <v>0</v>
      </c>
      <c r="BL196" s="266">
        <v>14</v>
      </c>
    </row>
    <row r="197" spans="2:133" ht="21" thickBot="1" x14ac:dyDescent="0.35">
      <c r="B197" s="244">
        <v>21</v>
      </c>
      <c r="C197" s="890"/>
      <c r="D197" s="16">
        <v>1</v>
      </c>
      <c r="E197" s="234" t="s">
        <v>215</v>
      </c>
      <c r="F197" s="235"/>
      <c r="G197" s="235">
        <f t="shared" si="45"/>
        <v>1</v>
      </c>
      <c r="H197" s="888">
        <v>251.073172</v>
      </c>
      <c r="I197" s="889">
        <v>65.636175100000003</v>
      </c>
      <c r="J197" s="374">
        <f t="shared" si="46"/>
        <v>64.636175100000003</v>
      </c>
      <c r="K197" s="374">
        <f t="shared" si="47"/>
        <v>32.318087550000001</v>
      </c>
      <c r="L197" s="374">
        <f t="shared" si="37"/>
        <v>0.53461916118589337</v>
      </c>
      <c r="M197" s="374">
        <f t="shared" si="38"/>
        <v>134.22852861092153</v>
      </c>
      <c r="N197" s="374">
        <f t="shared" si="39"/>
        <v>268.45705722184306</v>
      </c>
      <c r="O197" s="983">
        <f>+C177+D178+D179+D180+D181+D182+D183+D184+D185+D186+D187+D188+D189+D190+D191+D192+D193+D194+D195+D196+(D197/2)</f>
        <v>20.5</v>
      </c>
      <c r="P197" s="374">
        <f t="shared" si="40"/>
        <v>0.35020738125946715</v>
      </c>
      <c r="Q197" s="374">
        <f t="shared" si="41"/>
        <v>94.015642990284576</v>
      </c>
      <c r="R197" s="374">
        <f t="shared" si="48"/>
        <v>1138.6278952884754</v>
      </c>
      <c r="S197" s="374">
        <f t="shared" si="62"/>
        <v>1232.6435382787599</v>
      </c>
      <c r="T197" s="375">
        <f t="shared" si="42"/>
        <v>1232.6435382787599</v>
      </c>
      <c r="V197" s="929">
        <f t="shared" si="43"/>
        <v>0</v>
      </c>
      <c r="AB197" s="248" t="str">
        <f t="shared" si="49"/>
        <v>use the locking pin</v>
      </c>
      <c r="AF197" s="966">
        <f>SUM(V197:V202)/($B$174-B196)</f>
        <v>0</v>
      </c>
      <c r="AG197" s="972">
        <f>SUM(D178:D197)+$C$177</f>
        <v>21</v>
      </c>
      <c r="AH197" s="353"/>
      <c r="AI197" s="944">
        <f t="shared" si="50"/>
        <v>54.499008599999996</v>
      </c>
      <c r="AJ197" s="575">
        <f t="shared" si="44"/>
        <v>0.81410547021842816</v>
      </c>
      <c r="AK197" s="944">
        <f t="shared" si="51"/>
        <v>236.61394871877258</v>
      </c>
      <c r="AL197" s="944">
        <f t="shared" si="52"/>
        <v>78.181912400000002</v>
      </c>
      <c r="AM197" s="968">
        <f t="shared" si="53"/>
        <v>0.97880278300112167</v>
      </c>
      <c r="AN197" s="944">
        <f t="shared" si="54"/>
        <v>245.7511194905193</v>
      </c>
      <c r="AO197" s="969"/>
      <c r="AP197" s="251">
        <f t="shared" si="55"/>
        <v>-556.70000000000005</v>
      </c>
      <c r="AQ197" s="347"/>
      <c r="AR197" s="347">
        <f t="shared" si="56"/>
        <v>482.36506820929185</v>
      </c>
      <c r="AS197" s="348">
        <f t="shared" si="64"/>
        <v>-245.7511194905193</v>
      </c>
      <c r="AU197" s="348">
        <f t="shared" si="63"/>
        <v>245.7511194905193</v>
      </c>
      <c r="AV197" s="350">
        <f t="shared" si="57"/>
        <v>-273.07737216698251</v>
      </c>
      <c r="AW197" s="350">
        <f t="shared" si="58"/>
        <v>-283.62262783301753</v>
      </c>
      <c r="AX197" s="351">
        <f t="shared" si="59"/>
        <v>-42.478803380701869</v>
      </c>
      <c r="AY197" s="351">
        <f t="shared" si="60"/>
        <v>-35.258117719322051</v>
      </c>
      <c r="AZ197" s="241">
        <f t="shared" si="61"/>
        <v>42.478803380701869</v>
      </c>
      <c r="BA197" s="242">
        <f t="shared" si="61"/>
        <v>35.258117719322051</v>
      </c>
      <c r="BE197" s="260">
        <v>15</v>
      </c>
      <c r="BF197" s="261">
        <f t="shared" si="69"/>
        <v>129</v>
      </c>
      <c r="BG197" s="31">
        <f t="shared" si="70"/>
        <v>129</v>
      </c>
      <c r="BH197" s="263">
        <f t="shared" si="66"/>
        <v>-108.84047341718886</v>
      </c>
      <c r="BI197" s="264">
        <f t="shared" si="67"/>
        <v>108.84047341718886</v>
      </c>
      <c r="BJ197" s="264">
        <f t="shared" si="71"/>
        <v>20.159526582811139</v>
      </c>
      <c r="BK197" s="264" t="b">
        <f t="shared" si="68"/>
        <v>0</v>
      </c>
      <c r="BL197" s="266">
        <v>15</v>
      </c>
      <c r="DF197" s="217"/>
      <c r="DG197" s="217"/>
      <c r="DH197" s="217"/>
      <c r="DI197" s="217"/>
      <c r="DJ197" s="217"/>
      <c r="DK197" s="217"/>
      <c r="DL197" s="109"/>
      <c r="DM197" s="109"/>
      <c r="DN197" s="109"/>
      <c r="DO197" s="109"/>
      <c r="DP197" s="109"/>
      <c r="DQ197" s="217"/>
      <c r="DR197" s="217"/>
      <c r="DS197" s="217"/>
      <c r="DT197" s="109"/>
      <c r="DU197" s="109"/>
      <c r="DV197" s="109"/>
      <c r="DW197" s="109"/>
      <c r="DX197" s="109"/>
      <c r="DY197" s="109"/>
      <c r="DZ197" s="109"/>
      <c r="EA197" s="109"/>
      <c r="EB197" s="109"/>
      <c r="EC197" s="109"/>
    </row>
    <row r="198" spans="2:133" ht="21" thickBot="1" x14ac:dyDescent="0.35">
      <c r="B198" s="244">
        <v>22</v>
      </c>
      <c r="C198" s="890"/>
      <c r="D198" s="16">
        <v>1</v>
      </c>
      <c r="E198" s="234" t="s">
        <v>215</v>
      </c>
      <c r="F198" s="235"/>
      <c r="G198" s="235">
        <f t="shared" si="45"/>
        <v>1</v>
      </c>
      <c r="H198" s="888">
        <v>251.073172</v>
      </c>
      <c r="I198" s="889">
        <v>65.636175100000003</v>
      </c>
      <c r="J198" s="374">
        <f t="shared" si="46"/>
        <v>64.636175100000003</v>
      </c>
      <c r="K198" s="374">
        <f t="shared" si="47"/>
        <v>32.318087550000001</v>
      </c>
      <c r="L198" s="374">
        <f t="shared" si="37"/>
        <v>0.53461916118589337</v>
      </c>
      <c r="M198" s="374">
        <f t="shared" si="38"/>
        <v>134.22852861092153</v>
      </c>
      <c r="N198" s="374">
        <f t="shared" si="39"/>
        <v>268.45705722184306</v>
      </c>
      <c r="O198" s="983">
        <f>+C177+D178+D179+D180+D181+D182+D183+D184+D185+D186+D187+D188+D189+D190+D191+D192+D193+D194+D195+D196+D197+(D198/2)</f>
        <v>21.5</v>
      </c>
      <c r="P198" s="374">
        <f t="shared" si="40"/>
        <v>0.36650122672429686</v>
      </c>
      <c r="Q198" s="374">
        <f t="shared" si="41"/>
        <v>98.389840794600232</v>
      </c>
      <c r="R198" s="374">
        <f t="shared" si="48"/>
        <v>1232.6435382787599</v>
      </c>
      <c r="S198" s="374">
        <f t="shared" si="62"/>
        <v>1331.0333790733603</v>
      </c>
      <c r="T198" s="375">
        <f t="shared" si="42"/>
        <v>1331.0333790733603</v>
      </c>
      <c r="V198" s="929">
        <f t="shared" si="43"/>
        <v>0</v>
      </c>
      <c r="AB198" s="248" t="str">
        <f t="shared" si="49"/>
        <v>use the locking pin</v>
      </c>
      <c r="AF198" s="966">
        <f>SUM(V198:V202)/($B$174-B197)</f>
        <v>0</v>
      </c>
      <c r="AG198" s="972">
        <f>SUM(D178:D198)+$C$177</f>
        <v>22</v>
      </c>
      <c r="AH198" s="353"/>
      <c r="AI198" s="944">
        <f t="shared" si="50"/>
        <v>53.499008599999996</v>
      </c>
      <c r="AJ198" s="575">
        <f t="shared" si="44"/>
        <v>0.80384656816268329</v>
      </c>
      <c r="AK198" s="944">
        <f t="shared" si="51"/>
        <v>233.63227200275978</v>
      </c>
      <c r="AL198" s="944">
        <f t="shared" si="52"/>
        <v>79.181912400000002</v>
      </c>
      <c r="AM198" s="968">
        <f t="shared" si="53"/>
        <v>0.98222804771777472</v>
      </c>
      <c r="AN198" s="944">
        <f t="shared" si="54"/>
        <v>246.61111156786907</v>
      </c>
      <c r="AO198" s="969"/>
      <c r="AP198" s="251">
        <f t="shared" si="55"/>
        <v>-586</v>
      </c>
      <c r="AQ198" s="347"/>
      <c r="AR198" s="347">
        <f t="shared" si="56"/>
        <v>480.24338357062885</v>
      </c>
      <c r="AS198" s="348">
        <f t="shared" si="64"/>
        <v>-246.61111156786907</v>
      </c>
      <c r="AU198" s="348">
        <f t="shared" si="63"/>
        <v>246.61111156786907</v>
      </c>
      <c r="AV198" s="350">
        <f t="shared" si="57"/>
        <v>-285.08151507616191</v>
      </c>
      <c r="AW198" s="350">
        <f t="shared" si="58"/>
        <v>-300.91848492383809</v>
      </c>
      <c r="AX198" s="351">
        <f t="shared" si="59"/>
        <v>-40.690116287971051</v>
      </c>
      <c r="AY198" s="351">
        <f t="shared" si="60"/>
        <v>-33.231590949060447</v>
      </c>
      <c r="AZ198" s="241">
        <f t="shared" ref="AZ198:BA202" si="72">ABS(AX198)</f>
        <v>40.690116287971051</v>
      </c>
      <c r="BA198" s="242">
        <f t="shared" si="72"/>
        <v>33.231590949060447</v>
      </c>
      <c r="BE198" s="260">
        <v>16</v>
      </c>
      <c r="BF198" s="261">
        <f t="shared" si="69"/>
        <v>172</v>
      </c>
      <c r="BG198" s="31">
        <f t="shared" si="70"/>
        <v>172</v>
      </c>
      <c r="BH198" s="263">
        <f t="shared" si="66"/>
        <v>-65.840473417188861</v>
      </c>
      <c r="BI198" s="264">
        <f t="shared" si="67"/>
        <v>65.840473417188861</v>
      </c>
      <c r="BJ198" s="264">
        <f t="shared" si="71"/>
        <v>20.159526582811139</v>
      </c>
      <c r="BK198" s="264" t="b">
        <f t="shared" si="68"/>
        <v>0</v>
      </c>
      <c r="BL198" s="266">
        <v>16</v>
      </c>
      <c r="DF198" s="217"/>
      <c r="DG198" s="217"/>
      <c r="DH198" s="217"/>
      <c r="DI198" s="217"/>
      <c r="DJ198" s="217"/>
      <c r="DK198" s="217"/>
      <c r="DP198" s="217"/>
      <c r="DQ198" s="217"/>
      <c r="DR198" s="217"/>
      <c r="DS198" s="217"/>
      <c r="DX198" s="217"/>
      <c r="DY198" s="217"/>
      <c r="DZ198" s="217"/>
      <c r="EA198" s="217"/>
      <c r="EB198" s="217"/>
      <c r="EC198" s="217"/>
    </row>
    <row r="199" spans="2:133" ht="21" thickBot="1" x14ac:dyDescent="0.35">
      <c r="B199" s="244">
        <v>23</v>
      </c>
      <c r="C199" s="890"/>
      <c r="D199" s="16">
        <v>1</v>
      </c>
      <c r="E199" s="234" t="s">
        <v>215</v>
      </c>
      <c r="F199" s="235"/>
      <c r="G199" s="235">
        <f t="shared" si="45"/>
        <v>1</v>
      </c>
      <c r="H199" s="888">
        <v>251.073172</v>
      </c>
      <c r="I199" s="889">
        <v>65.636175100000003</v>
      </c>
      <c r="J199" s="374">
        <f t="shared" si="46"/>
        <v>64.636175100000003</v>
      </c>
      <c r="K199" s="374">
        <f t="shared" si="47"/>
        <v>32.318087550000001</v>
      </c>
      <c r="L199" s="374">
        <f t="shared" si="37"/>
        <v>0.53461916118589337</v>
      </c>
      <c r="M199" s="374">
        <f t="shared" si="38"/>
        <v>134.22852861092153</v>
      </c>
      <c r="N199" s="374">
        <f t="shared" si="39"/>
        <v>268.45705722184306</v>
      </c>
      <c r="O199" s="983">
        <f>+C177+D178+D179+D180+D181+D182+D183+D184+D185+D186+D187+D188+D189+D190+D191+D192+D193+D194+D195+D196+D197+D198+(D199/2)</f>
        <v>22.5</v>
      </c>
      <c r="P199" s="374">
        <f t="shared" si="40"/>
        <v>0.38268343236508939</v>
      </c>
      <c r="Q199" s="374">
        <f t="shared" si="41"/>
        <v>102.73406810028611</v>
      </c>
      <c r="R199" s="374">
        <f t="shared" si="48"/>
        <v>1331.0333790733603</v>
      </c>
      <c r="S199" s="374">
        <f t="shared" si="62"/>
        <v>1433.7674471736464</v>
      </c>
      <c r="T199" s="375">
        <f t="shared" si="42"/>
        <v>1433.7674471736464</v>
      </c>
      <c r="V199" s="929">
        <f t="shared" si="43"/>
        <v>0</v>
      </c>
      <c r="AB199" s="248" t="str">
        <f t="shared" si="49"/>
        <v>use the locking pin</v>
      </c>
      <c r="AF199" s="966">
        <f>SUM(V199:V202)/($B$174-B198)</f>
        <v>0</v>
      </c>
      <c r="AG199" s="972">
        <f>SUM(D178:D199)+$C$177</f>
        <v>23</v>
      </c>
      <c r="AH199" s="353"/>
      <c r="AI199" s="944">
        <f t="shared" si="50"/>
        <v>52.499008599999996</v>
      </c>
      <c r="AJ199" s="575">
        <f t="shared" si="44"/>
        <v>0.79334280665523971</v>
      </c>
      <c r="AK199" s="944">
        <f t="shared" si="51"/>
        <v>230.57942863344837</v>
      </c>
      <c r="AL199" s="944">
        <f t="shared" si="52"/>
        <v>80.181912400000002</v>
      </c>
      <c r="AM199" s="968">
        <f t="shared" si="53"/>
        <v>0.98535411625603619</v>
      </c>
      <c r="AN199" s="944">
        <f t="shared" si="54"/>
        <v>247.39598351165978</v>
      </c>
      <c r="AO199" s="969"/>
      <c r="AP199" s="251">
        <f t="shared" si="55"/>
        <v>-615.30000000000007</v>
      </c>
      <c r="AQ199" s="347"/>
      <c r="AR199" s="347">
        <f t="shared" si="56"/>
        <v>477.97541214510818</v>
      </c>
      <c r="AS199" s="348">
        <f t="shared" si="64"/>
        <v>-247.39598351165978</v>
      </c>
      <c r="AU199" s="348">
        <f t="shared" si="63"/>
        <v>247.39598351165978</v>
      </c>
      <c r="AV199" s="350">
        <f t="shared" si="57"/>
        <v>-296.82598483766554</v>
      </c>
      <c r="AW199" s="350">
        <f t="shared" si="58"/>
        <v>-318.47401516233452</v>
      </c>
      <c r="AX199" s="351">
        <f t="shared" si="59"/>
        <v>-39.080136485840526</v>
      </c>
      <c r="AY199" s="351">
        <f t="shared" si="60"/>
        <v>-31.399736003274047</v>
      </c>
      <c r="AZ199" s="241">
        <f t="shared" si="72"/>
        <v>39.080136485840526</v>
      </c>
      <c r="BA199" s="242">
        <f t="shared" si="72"/>
        <v>31.399736003274047</v>
      </c>
      <c r="BE199" s="260">
        <v>17</v>
      </c>
      <c r="BF199" s="261">
        <f t="shared" si="69"/>
        <v>215</v>
      </c>
      <c r="BG199" s="31">
        <f t="shared" si="70"/>
        <v>215</v>
      </c>
      <c r="BH199" s="263">
        <f t="shared" si="66"/>
        <v>-22.840473417188861</v>
      </c>
      <c r="BI199" s="264">
        <f t="shared" si="67"/>
        <v>22.840473417188861</v>
      </c>
      <c r="BJ199" s="264">
        <f t="shared" si="71"/>
        <v>20.159526582811139</v>
      </c>
      <c r="BK199" s="264" t="b">
        <f t="shared" si="68"/>
        <v>0</v>
      </c>
      <c r="BL199" s="266">
        <v>17</v>
      </c>
    </row>
    <row r="200" spans="2:133" ht="21" thickBot="1" x14ac:dyDescent="0.35">
      <c r="B200" s="244">
        <v>24</v>
      </c>
      <c r="C200" s="891"/>
      <c r="D200" s="16">
        <v>1</v>
      </c>
      <c r="E200" s="234" t="s">
        <v>215</v>
      </c>
      <c r="F200" s="235"/>
      <c r="G200" s="235">
        <f t="shared" si="45"/>
        <v>1</v>
      </c>
      <c r="H200" s="888">
        <v>251.073172</v>
      </c>
      <c r="I200" s="889">
        <v>65.636175100000003</v>
      </c>
      <c r="J200" s="374">
        <f t="shared" si="46"/>
        <v>64.636175100000003</v>
      </c>
      <c r="K200" s="374">
        <f t="shared" si="47"/>
        <v>32.318087550000001</v>
      </c>
      <c r="L200" s="374">
        <f t="shared" si="37"/>
        <v>0.53461916118589337</v>
      </c>
      <c r="M200" s="374">
        <f t="shared" si="38"/>
        <v>134.22852861092153</v>
      </c>
      <c r="N200" s="374">
        <f t="shared" si="39"/>
        <v>268.45705722184306</v>
      </c>
      <c r="O200" s="983">
        <f>+C177+D178+D179+D180+D181+D182+D183+D184+D185+D186+D187+D188+D189+D190+D191+D192+D193+D194+D195+D196+D197+D198+D199+(D200/2)</f>
        <v>23.5</v>
      </c>
      <c r="P200" s="374">
        <f t="shared" si="40"/>
        <v>0.39874906892524581</v>
      </c>
      <c r="Q200" s="374">
        <f t="shared" si="41"/>
        <v>107.04700161362136</v>
      </c>
      <c r="R200" s="374">
        <f t="shared" si="48"/>
        <v>1433.7674471736464</v>
      </c>
      <c r="S200" s="374">
        <f t="shared" si="62"/>
        <v>1540.8144487872678</v>
      </c>
      <c r="T200" s="375">
        <f t="shared" si="42"/>
        <v>1540.8144487872678</v>
      </c>
      <c r="V200" s="929">
        <f t="shared" si="43"/>
        <v>0</v>
      </c>
      <c r="AB200" s="248" t="str">
        <f t="shared" si="49"/>
        <v>use the locking pin</v>
      </c>
      <c r="AF200" s="966">
        <f>SUM(V200:V202)/($B$174-B199)</f>
        <v>0</v>
      </c>
      <c r="AG200" s="972">
        <f>SUM(D178:D200)+$C$177</f>
        <v>24</v>
      </c>
      <c r="AH200" s="353"/>
      <c r="AI200" s="944">
        <f t="shared" si="50"/>
        <v>51.499008599999996</v>
      </c>
      <c r="AJ200" s="575">
        <f t="shared" si="44"/>
        <v>0.78259738524360445</v>
      </c>
      <c r="AK200" s="944">
        <f t="shared" si="51"/>
        <v>227.45634853650211</v>
      </c>
      <c r="AL200" s="944">
        <f t="shared" si="52"/>
        <v>81.181912400000002</v>
      </c>
      <c r="AM200" s="968">
        <f t="shared" si="53"/>
        <v>0.9881800363851464</v>
      </c>
      <c r="AN200" s="944">
        <f t="shared" si="54"/>
        <v>248.10549624229412</v>
      </c>
      <c r="AO200" s="969"/>
      <c r="AP200" s="251">
        <f t="shared" si="55"/>
        <v>-644.6</v>
      </c>
      <c r="AQ200" s="347"/>
      <c r="AR200" s="347">
        <f t="shared" si="56"/>
        <v>475.56184477879623</v>
      </c>
      <c r="AS200" s="348">
        <f t="shared" si="64"/>
        <v>-248.10549624229412</v>
      </c>
      <c r="AU200" s="348">
        <f t="shared" si="63"/>
        <v>248.10549624229412</v>
      </c>
      <c r="AV200" s="350">
        <f t="shared" si="57"/>
        <v>-308.30556293856506</v>
      </c>
      <c r="AW200" s="350">
        <f t="shared" si="58"/>
        <v>-336.29443706143502</v>
      </c>
      <c r="AX200" s="351">
        <f t="shared" si="59"/>
        <v>-37.625010361267762</v>
      </c>
      <c r="AY200" s="351">
        <f t="shared" si="60"/>
        <v>-29.73584721585263</v>
      </c>
      <c r="AZ200" s="241">
        <f t="shared" si="72"/>
        <v>37.625010361267762</v>
      </c>
      <c r="BA200" s="242">
        <f t="shared" si="72"/>
        <v>29.73584721585263</v>
      </c>
      <c r="BE200" s="260">
        <v>18</v>
      </c>
      <c r="BF200" s="261">
        <f t="shared" si="69"/>
        <v>258</v>
      </c>
      <c r="BG200" s="31">
        <f t="shared" si="70"/>
        <v>258</v>
      </c>
      <c r="BH200" s="263">
        <f t="shared" si="66"/>
        <v>20.159526582811139</v>
      </c>
      <c r="BI200" s="264">
        <f t="shared" si="67"/>
        <v>20.159526582811139</v>
      </c>
      <c r="BJ200" s="264">
        <f t="shared" si="71"/>
        <v>20.159526582811139</v>
      </c>
      <c r="BK200" s="264">
        <f t="shared" si="68"/>
        <v>18</v>
      </c>
      <c r="BL200" s="266">
        <v>18</v>
      </c>
    </row>
    <row r="201" spans="2:133" ht="21" thickBot="1" x14ac:dyDescent="0.35">
      <c r="B201" s="244">
        <v>25</v>
      </c>
      <c r="C201" s="892"/>
      <c r="D201" s="16">
        <v>1</v>
      </c>
      <c r="E201" s="234" t="s">
        <v>215</v>
      </c>
      <c r="F201" s="235"/>
      <c r="G201" s="235">
        <f t="shared" si="45"/>
        <v>1</v>
      </c>
      <c r="H201" s="888">
        <v>251.073172</v>
      </c>
      <c r="I201" s="889">
        <v>65.636175100000003</v>
      </c>
      <c r="J201" s="374">
        <f t="shared" si="46"/>
        <v>64.636175100000003</v>
      </c>
      <c r="K201" s="374">
        <f t="shared" si="47"/>
        <v>32.318087550000001</v>
      </c>
      <c r="L201" s="374">
        <f t="shared" si="37"/>
        <v>0.53461916118589337</v>
      </c>
      <c r="M201" s="374">
        <f t="shared" si="38"/>
        <v>134.22852861092153</v>
      </c>
      <c r="N201" s="374">
        <f t="shared" si="39"/>
        <v>268.45705722184306</v>
      </c>
      <c r="O201" s="983">
        <f>+C177+D178+D179+D180+D181+D182+D183+D184+D185+D186+D187+D188+D189+D190+D191+D192+D193+D194+D195+D196+D197+D198+D199+D200+(D201/2)</f>
        <v>24.5</v>
      </c>
      <c r="P201" s="374">
        <f t="shared" si="40"/>
        <v>0.41469324265623864</v>
      </c>
      <c r="Q201" s="374">
        <f t="shared" si="41"/>
        <v>111.3273275732775</v>
      </c>
      <c r="R201" s="374">
        <f t="shared" si="48"/>
        <v>1540.8144487872678</v>
      </c>
      <c r="S201" s="374">
        <f t="shared" si="62"/>
        <v>1652.1417763605452</v>
      </c>
      <c r="T201" s="375">
        <f t="shared" si="42"/>
        <v>1652.1417763605452</v>
      </c>
      <c r="V201" s="929">
        <f t="shared" si="43"/>
        <v>0</v>
      </c>
      <c r="AB201" s="248" t="str">
        <f t="shared" si="49"/>
        <v>use the locking pin</v>
      </c>
      <c r="AF201" s="966">
        <f>SUM(V201:V202)/($B$174-B200)</f>
        <v>0</v>
      </c>
      <c r="AG201" s="972">
        <f>SUM(D178:D201)+$C$177</f>
        <v>25</v>
      </c>
      <c r="AH201" s="353"/>
      <c r="AI201" s="944">
        <f t="shared" si="50"/>
        <v>50.499008599999996</v>
      </c>
      <c r="AJ201" s="575">
        <f t="shared" si="44"/>
        <v>0.77161357708723288</v>
      </c>
      <c r="AK201" s="944">
        <f t="shared" si="51"/>
        <v>224.26398303237247</v>
      </c>
      <c r="AL201" s="944">
        <f t="shared" si="52"/>
        <v>82.181912400000002</v>
      </c>
      <c r="AM201" s="968">
        <f t="shared" si="53"/>
        <v>0.99070494730245873</v>
      </c>
      <c r="AN201" s="944">
        <f t="shared" si="54"/>
        <v>248.73943363532115</v>
      </c>
      <c r="AO201" s="969"/>
      <c r="AP201" s="251">
        <f t="shared" si="55"/>
        <v>-673.9</v>
      </c>
      <c r="AQ201" s="347"/>
      <c r="AR201" s="347">
        <f t="shared" si="56"/>
        <v>473.00341666769361</v>
      </c>
      <c r="AS201" s="348">
        <f t="shared" si="64"/>
        <v>-248.73943363532115</v>
      </c>
      <c r="AU201" s="348">
        <f t="shared" si="63"/>
        <v>248.73943363532115</v>
      </c>
      <c r="AV201" s="350">
        <f t="shared" si="57"/>
        <v>-319.51460145940666</v>
      </c>
      <c r="AW201" s="350">
        <f t="shared" si="58"/>
        <v>-354.38539854059326</v>
      </c>
      <c r="AX201" s="351">
        <f t="shared" si="59"/>
        <v>-36.305070087614581</v>
      </c>
      <c r="AY201" s="351">
        <f t="shared" si="60"/>
        <v>-28.21786687933912</v>
      </c>
      <c r="AZ201" s="241">
        <f t="shared" si="72"/>
        <v>36.305070087614581</v>
      </c>
      <c r="BA201" s="242">
        <f t="shared" si="72"/>
        <v>28.21786687933912</v>
      </c>
      <c r="BE201" s="260">
        <v>19</v>
      </c>
      <c r="BF201" s="261">
        <f t="shared" si="69"/>
        <v>301</v>
      </c>
      <c r="BG201" s="31">
        <f t="shared" si="70"/>
        <v>301</v>
      </c>
      <c r="BH201" s="263">
        <f t="shared" si="66"/>
        <v>63.159526582811139</v>
      </c>
      <c r="BI201" s="264">
        <f t="shared" si="67"/>
        <v>63.159526582811139</v>
      </c>
      <c r="BJ201" s="264">
        <f t="shared" si="71"/>
        <v>20.159526582811139</v>
      </c>
      <c r="BK201" s="264" t="b">
        <f t="shared" si="68"/>
        <v>0</v>
      </c>
      <c r="BL201" s="266">
        <v>19</v>
      </c>
    </row>
    <row r="202" spans="2:133" ht="21" thickBot="1" x14ac:dyDescent="0.35">
      <c r="B202" s="244">
        <v>26</v>
      </c>
      <c r="C202" s="892"/>
      <c r="D202" s="16">
        <v>1</v>
      </c>
      <c r="E202" s="234" t="s">
        <v>215</v>
      </c>
      <c r="F202" s="235"/>
      <c r="G202" s="235">
        <f t="shared" si="45"/>
        <v>1</v>
      </c>
      <c r="H202" s="888">
        <v>251.073172</v>
      </c>
      <c r="I202" s="889">
        <v>65.636175100000003</v>
      </c>
      <c r="J202" s="374">
        <f t="shared" si="46"/>
        <v>64.636175100000003</v>
      </c>
      <c r="K202" s="374">
        <f t="shared" si="47"/>
        <v>32.318087550000001</v>
      </c>
      <c r="L202" s="374">
        <f t="shared" si="37"/>
        <v>0.53461916118589337</v>
      </c>
      <c r="M202" s="374">
        <f t="shared" si="38"/>
        <v>134.22852861092153</v>
      </c>
      <c r="N202" s="374">
        <f t="shared" si="39"/>
        <v>268.45705722184306</v>
      </c>
      <c r="O202" s="983">
        <f>+C177+D178+D179+D180+D181+D182+D183+D184+D185+D186+D187+D188+D189+D190+D191+D192+D193+D194+D195+D196+D197+D198+D199+D200+D201+(D202/2)</f>
        <v>25.5</v>
      </c>
      <c r="P202" s="374">
        <f t="shared" si="40"/>
        <v>0.43051109680829475</v>
      </c>
      <c r="Q202" s="374">
        <f t="shared" si="41"/>
        <v>115.5737421505028</v>
      </c>
      <c r="R202" s="374">
        <f t="shared" si="48"/>
        <v>1652.1417763605452</v>
      </c>
      <c r="S202" s="374">
        <f t="shared" si="62"/>
        <v>1767.715518511048</v>
      </c>
      <c r="T202" s="375">
        <f t="shared" si="42"/>
        <v>1767.715518511048</v>
      </c>
      <c r="V202" s="929">
        <f t="shared" si="43"/>
        <v>0</v>
      </c>
      <c r="AB202" s="248" t="str">
        <f t="shared" si="49"/>
        <v>use the locking pin</v>
      </c>
      <c r="AF202" s="966">
        <f>SUM(V202)/($B$174-B201)</f>
        <v>0</v>
      </c>
      <c r="AG202" s="972">
        <f>SUM(D178:D202)+$C$177</f>
        <v>26</v>
      </c>
      <c r="AH202" s="353"/>
      <c r="AI202" s="944">
        <f t="shared" si="50"/>
        <v>49.499008599999996</v>
      </c>
      <c r="AJ202" s="575">
        <f t="shared" si="44"/>
        <v>0.76039472796049201</v>
      </c>
      <c r="AK202" s="944">
        <f t="shared" si="51"/>
        <v>221.0033045465172</v>
      </c>
      <c r="AL202" s="944">
        <f t="shared" si="52"/>
        <v>83.181912400000002</v>
      </c>
      <c r="AM202" s="968">
        <f t="shared" si="53"/>
        <v>0.99292807989564835</v>
      </c>
      <c r="AN202" s="944">
        <f t="shared" si="54"/>
        <v>249.29760258726986</v>
      </c>
      <c r="AO202" s="969"/>
      <c r="AP202" s="251">
        <f t="shared" si="55"/>
        <v>-703.2</v>
      </c>
      <c r="AQ202" s="347"/>
      <c r="AR202" s="347">
        <f t="shared" si="56"/>
        <v>470.30090713378706</v>
      </c>
      <c r="AS202" s="348">
        <f t="shared" si="64"/>
        <v>-249.29760258726986</v>
      </c>
      <c r="AU202" s="348">
        <f t="shared" si="63"/>
        <v>249.29760258726986</v>
      </c>
      <c r="AV202" s="350">
        <f t="shared" si="57"/>
        <v>-330.44699978199571</v>
      </c>
      <c r="AW202" s="350">
        <f t="shared" si="58"/>
        <v>-372.75300021800433</v>
      </c>
      <c r="AX202" s="351">
        <f t="shared" si="59"/>
        <v>-35.103965258128582</v>
      </c>
      <c r="AY202" s="351">
        <f t="shared" si="60"/>
        <v>-26.827416530923983</v>
      </c>
      <c r="AZ202" s="241">
        <f t="shared" si="72"/>
        <v>35.103965258128582</v>
      </c>
      <c r="BA202" s="242">
        <f t="shared" si="72"/>
        <v>26.827416530923983</v>
      </c>
      <c r="BE202" s="260">
        <v>20</v>
      </c>
      <c r="BF202" s="261">
        <f t="shared" si="69"/>
        <v>344</v>
      </c>
      <c r="BG202" s="31">
        <f t="shared" si="70"/>
        <v>344</v>
      </c>
      <c r="BH202" s="263">
        <f t="shared" si="66"/>
        <v>106.15952658281114</v>
      </c>
      <c r="BI202" s="264">
        <f t="shared" si="67"/>
        <v>106.15952658281114</v>
      </c>
      <c r="BJ202" s="264">
        <f t="shared" si="71"/>
        <v>20.159526582811139</v>
      </c>
      <c r="BK202" s="264" t="b">
        <f t="shared" si="68"/>
        <v>0</v>
      </c>
      <c r="BL202" s="266">
        <v>20</v>
      </c>
    </row>
    <row r="203" spans="2:133" ht="20" x14ac:dyDescent="0.3">
      <c r="O203" s="47"/>
      <c r="BE203" s="260">
        <v>21</v>
      </c>
      <c r="BF203" s="261">
        <f t="shared" si="69"/>
        <v>387</v>
      </c>
      <c r="BG203" s="31">
        <f t="shared" si="70"/>
        <v>387</v>
      </c>
      <c r="BH203" s="263">
        <f t="shared" si="66"/>
        <v>149.15952658281114</v>
      </c>
      <c r="BI203" s="264">
        <f t="shared" si="67"/>
        <v>149.15952658281114</v>
      </c>
      <c r="BJ203" s="264">
        <f t="shared" si="71"/>
        <v>20.159526582811139</v>
      </c>
      <c r="BK203" s="264" t="b">
        <f t="shared" si="68"/>
        <v>0</v>
      </c>
      <c r="BL203" s="266">
        <v>21</v>
      </c>
    </row>
    <row r="204" spans="2:133" ht="20" x14ac:dyDescent="0.3">
      <c r="BE204" s="260">
        <v>22</v>
      </c>
      <c r="BF204" s="261">
        <f t="shared" si="69"/>
        <v>430</v>
      </c>
      <c r="BG204" s="31">
        <f t="shared" si="70"/>
        <v>430</v>
      </c>
      <c r="BH204" s="263">
        <f t="shared" si="66"/>
        <v>192.15952658281114</v>
      </c>
      <c r="BI204" s="264">
        <f t="shared" si="67"/>
        <v>192.15952658281114</v>
      </c>
      <c r="BJ204" s="264">
        <f t="shared" si="71"/>
        <v>20.159526582811139</v>
      </c>
      <c r="BK204" s="264" t="b">
        <f t="shared" si="68"/>
        <v>0</v>
      </c>
      <c r="BL204" s="266">
        <v>22</v>
      </c>
    </row>
    <row r="205" spans="2:133" ht="20" x14ac:dyDescent="0.3">
      <c r="BE205" s="260">
        <v>23</v>
      </c>
      <c r="BF205" s="261">
        <f t="shared" si="69"/>
        <v>473</v>
      </c>
      <c r="BG205" s="31">
        <f t="shared" si="70"/>
        <v>473</v>
      </c>
      <c r="BH205" s="263">
        <f t="shared" si="66"/>
        <v>235.15952658281114</v>
      </c>
      <c r="BI205" s="264">
        <f t="shared" si="67"/>
        <v>235.15952658281114</v>
      </c>
      <c r="BJ205" s="264">
        <f t="shared" si="71"/>
        <v>20.159526582811139</v>
      </c>
      <c r="BK205" s="264" t="b">
        <f t="shared" si="68"/>
        <v>0</v>
      </c>
      <c r="BL205" s="266">
        <v>23</v>
      </c>
    </row>
    <row r="206" spans="2:133" ht="20" x14ac:dyDescent="0.3">
      <c r="BE206" s="260">
        <v>24</v>
      </c>
      <c r="BF206" s="261">
        <f t="shared" si="69"/>
        <v>516</v>
      </c>
      <c r="BG206" s="31">
        <f t="shared" si="70"/>
        <v>516</v>
      </c>
      <c r="BH206" s="263">
        <f t="shared" si="66"/>
        <v>278.15952658281117</v>
      </c>
      <c r="BI206" s="264">
        <f t="shared" si="67"/>
        <v>278.15952658281117</v>
      </c>
      <c r="BJ206" s="264">
        <f t="shared" si="71"/>
        <v>20.159526582811139</v>
      </c>
      <c r="BK206" s="264" t="b">
        <f t="shared" si="68"/>
        <v>0</v>
      </c>
      <c r="BL206" s="266">
        <v>24</v>
      </c>
    </row>
    <row r="207" spans="2:133" ht="20" x14ac:dyDescent="0.3">
      <c r="BE207" s="260">
        <v>25</v>
      </c>
      <c r="BF207" s="261">
        <f t="shared" si="69"/>
        <v>559</v>
      </c>
      <c r="BG207" s="31">
        <f t="shared" si="70"/>
        <v>559</v>
      </c>
      <c r="BH207" s="263">
        <f t="shared" si="66"/>
        <v>321.15952658281117</v>
      </c>
      <c r="BI207" s="264">
        <f t="shared" si="67"/>
        <v>321.15952658281117</v>
      </c>
      <c r="BJ207" s="264">
        <f t="shared" si="71"/>
        <v>20.159526582811139</v>
      </c>
      <c r="BK207" s="264" t="b">
        <f t="shared" si="68"/>
        <v>0</v>
      </c>
      <c r="BL207" s="266">
        <v>25</v>
      </c>
    </row>
    <row r="208" spans="2:133" ht="20" x14ac:dyDescent="0.3">
      <c r="BE208" s="260">
        <v>26</v>
      </c>
      <c r="BF208" s="261">
        <f t="shared" si="69"/>
        <v>602</v>
      </c>
      <c r="BG208" s="31">
        <f t="shared" si="70"/>
        <v>602</v>
      </c>
      <c r="BH208" s="263">
        <f t="shared" si="66"/>
        <v>364.15952658281117</v>
      </c>
      <c r="BI208" s="264">
        <f t="shared" si="67"/>
        <v>364.15952658281117</v>
      </c>
      <c r="BJ208" s="264">
        <f t="shared" si="71"/>
        <v>20.159526582811139</v>
      </c>
      <c r="BK208" s="264" t="b">
        <f t="shared" si="68"/>
        <v>0</v>
      </c>
      <c r="BL208" s="266">
        <v>26</v>
      </c>
    </row>
    <row r="209" spans="57:64" ht="20" x14ac:dyDescent="0.3">
      <c r="BE209" s="260">
        <v>27</v>
      </c>
      <c r="BF209" s="261">
        <f t="shared" si="69"/>
        <v>645</v>
      </c>
      <c r="BG209" s="31">
        <f t="shared" si="70"/>
        <v>645</v>
      </c>
      <c r="BH209" s="263">
        <f t="shared" si="66"/>
        <v>407.15952658281117</v>
      </c>
      <c r="BI209" s="264">
        <f t="shared" si="67"/>
        <v>407.15952658281117</v>
      </c>
      <c r="BJ209" s="264">
        <f t="shared" si="71"/>
        <v>20.159526582811139</v>
      </c>
      <c r="BK209" s="264" t="b">
        <f t="shared" si="68"/>
        <v>0</v>
      </c>
      <c r="BL209" s="266">
        <v>27</v>
      </c>
    </row>
    <row r="210" spans="57:64" ht="20" x14ac:dyDescent="0.3">
      <c r="BE210" s="260">
        <v>28</v>
      </c>
      <c r="BF210" s="261">
        <f t="shared" si="69"/>
        <v>688</v>
      </c>
      <c r="BG210" s="31">
        <f t="shared" si="70"/>
        <v>688</v>
      </c>
      <c r="BH210" s="263">
        <f t="shared" si="66"/>
        <v>450.15952658281117</v>
      </c>
      <c r="BI210" s="264">
        <f t="shared" si="67"/>
        <v>450.15952658281117</v>
      </c>
      <c r="BJ210" s="264">
        <f t="shared" si="71"/>
        <v>20.159526582811139</v>
      </c>
      <c r="BK210" s="264" t="b">
        <f t="shared" si="68"/>
        <v>0</v>
      </c>
      <c r="BL210" s="266">
        <v>28</v>
      </c>
    </row>
    <row r="211" spans="57:64" ht="20" x14ac:dyDescent="0.3">
      <c r="BE211" s="260">
        <v>29</v>
      </c>
      <c r="BF211" s="261">
        <f t="shared" si="69"/>
        <v>731</v>
      </c>
      <c r="BG211" s="31">
        <f t="shared" si="70"/>
        <v>731</v>
      </c>
      <c r="BH211" s="263">
        <f t="shared" si="66"/>
        <v>493.15952658281117</v>
      </c>
      <c r="BI211" s="264">
        <f t="shared" si="67"/>
        <v>493.15952658281117</v>
      </c>
      <c r="BJ211" s="264">
        <f t="shared" si="71"/>
        <v>20.159526582811139</v>
      </c>
      <c r="BK211" s="264" t="b">
        <f t="shared" si="68"/>
        <v>0</v>
      </c>
      <c r="BL211" s="266">
        <v>29</v>
      </c>
    </row>
    <row r="212" spans="57:64" ht="20" x14ac:dyDescent="0.3">
      <c r="BE212" s="260">
        <v>30</v>
      </c>
      <c r="BF212" s="261">
        <f t="shared" si="69"/>
        <v>774</v>
      </c>
      <c r="BG212" s="31">
        <f t="shared" si="70"/>
        <v>774</v>
      </c>
      <c r="BH212" s="263">
        <f t="shared" si="66"/>
        <v>536.15952658281117</v>
      </c>
      <c r="BI212" s="264">
        <f t="shared" si="67"/>
        <v>536.15952658281117</v>
      </c>
      <c r="BJ212" s="264">
        <f t="shared" si="71"/>
        <v>20.159526582811139</v>
      </c>
      <c r="BK212" s="264" t="b">
        <f t="shared" si="68"/>
        <v>0</v>
      </c>
      <c r="BL212" s="266">
        <v>30</v>
      </c>
    </row>
    <row r="213" spans="57:64" ht="20" x14ac:dyDescent="0.3">
      <c r="BE213" s="260">
        <v>31</v>
      </c>
      <c r="BF213" s="261">
        <f t="shared" si="69"/>
        <v>817</v>
      </c>
      <c r="BG213" s="31">
        <f t="shared" si="70"/>
        <v>817</v>
      </c>
      <c r="BH213" s="263">
        <f t="shared" si="66"/>
        <v>579.15952658281117</v>
      </c>
      <c r="BI213" s="264">
        <f t="shared" si="67"/>
        <v>579.15952658281117</v>
      </c>
      <c r="BJ213" s="264">
        <f t="shared" si="71"/>
        <v>20.159526582811139</v>
      </c>
      <c r="BK213" s="264" t="b">
        <f t="shared" si="68"/>
        <v>0</v>
      </c>
      <c r="BL213" s="266">
        <v>31</v>
      </c>
    </row>
    <row r="214" spans="57:64" ht="20" x14ac:dyDescent="0.3">
      <c r="BE214" s="260">
        <v>32</v>
      </c>
      <c r="BF214" s="261">
        <f t="shared" si="69"/>
        <v>860</v>
      </c>
      <c r="BG214" s="31">
        <f t="shared" si="70"/>
        <v>860</v>
      </c>
      <c r="BH214" s="263">
        <f t="shared" si="66"/>
        <v>622.15952658281117</v>
      </c>
      <c r="BI214" s="264">
        <f t="shared" si="67"/>
        <v>622.15952658281117</v>
      </c>
      <c r="BJ214" s="264">
        <f t="shared" si="71"/>
        <v>20.159526582811139</v>
      </c>
      <c r="BK214" s="264" t="b">
        <f t="shared" si="68"/>
        <v>0</v>
      </c>
      <c r="BL214" s="266">
        <v>32</v>
      </c>
    </row>
    <row r="215" spans="57:64" ht="20" x14ac:dyDescent="0.3">
      <c r="BE215" s="260">
        <v>33</v>
      </c>
      <c r="BF215" s="261">
        <f t="shared" si="69"/>
        <v>903</v>
      </c>
      <c r="BG215" s="31">
        <f t="shared" si="70"/>
        <v>903</v>
      </c>
      <c r="BH215" s="263">
        <f t="shared" si="66"/>
        <v>665.15952658281117</v>
      </c>
      <c r="BI215" s="264">
        <f t="shared" si="67"/>
        <v>665.15952658281117</v>
      </c>
      <c r="BJ215" s="264">
        <f t="shared" si="71"/>
        <v>20.159526582811139</v>
      </c>
      <c r="BK215" s="264" t="b">
        <f t="shared" si="68"/>
        <v>0</v>
      </c>
      <c r="BL215" s="266">
        <v>33</v>
      </c>
    </row>
    <row r="216" spans="57:64" ht="20" x14ac:dyDescent="0.3">
      <c r="BE216" s="260">
        <v>34</v>
      </c>
      <c r="BF216" s="261">
        <f t="shared" si="69"/>
        <v>946</v>
      </c>
      <c r="BG216" s="31">
        <f t="shared" si="70"/>
        <v>946</v>
      </c>
      <c r="BH216" s="263">
        <f t="shared" si="66"/>
        <v>708.15952658281117</v>
      </c>
      <c r="BI216" s="264">
        <f t="shared" si="67"/>
        <v>708.15952658281117</v>
      </c>
      <c r="BJ216" s="264">
        <f t="shared" si="71"/>
        <v>20.159526582811139</v>
      </c>
      <c r="BK216" s="264" t="b">
        <f t="shared" si="68"/>
        <v>0</v>
      </c>
      <c r="BL216" s="266">
        <v>34</v>
      </c>
    </row>
    <row r="217" spans="57:64" ht="20" x14ac:dyDescent="0.3">
      <c r="BE217" s="260">
        <v>35</v>
      </c>
      <c r="BF217" s="261">
        <f t="shared" si="69"/>
        <v>989</v>
      </c>
      <c r="BG217" s="31">
        <f t="shared" si="70"/>
        <v>989</v>
      </c>
      <c r="BH217" s="263">
        <f t="shared" si="66"/>
        <v>751.15952658281117</v>
      </c>
      <c r="BI217" s="264">
        <f t="shared" si="67"/>
        <v>751.15952658281117</v>
      </c>
      <c r="BJ217" s="264">
        <f t="shared" si="71"/>
        <v>20.159526582811139</v>
      </c>
      <c r="BK217" s="264" t="b">
        <f t="shared" si="68"/>
        <v>0</v>
      </c>
      <c r="BL217" s="266">
        <v>35</v>
      </c>
    </row>
    <row r="218" spans="57:64" ht="20" x14ac:dyDescent="0.3">
      <c r="BE218" s="260">
        <v>36</v>
      </c>
      <c r="BF218" s="261">
        <f t="shared" si="69"/>
        <v>1032</v>
      </c>
      <c r="BG218" s="31">
        <f t="shared" si="70"/>
        <v>1032</v>
      </c>
      <c r="BH218" s="263">
        <f t="shared" si="66"/>
        <v>794.15952658281117</v>
      </c>
      <c r="BI218" s="264">
        <f t="shared" si="67"/>
        <v>794.15952658281117</v>
      </c>
      <c r="BJ218" s="264">
        <f t="shared" si="71"/>
        <v>20.159526582811139</v>
      </c>
      <c r="BK218" s="264" t="b">
        <f t="shared" si="68"/>
        <v>0</v>
      </c>
      <c r="BL218" s="266">
        <v>36</v>
      </c>
    </row>
    <row r="219" spans="57:64" ht="20" x14ac:dyDescent="0.3">
      <c r="BE219" s="270">
        <v>37</v>
      </c>
      <c r="BF219" s="271">
        <f t="shared" si="69"/>
        <v>1075</v>
      </c>
      <c r="BG219" s="31">
        <f t="shared" si="70"/>
        <v>1075</v>
      </c>
      <c r="BH219" s="263">
        <f t="shared" si="66"/>
        <v>837.15952658281117</v>
      </c>
      <c r="BI219" s="264">
        <f t="shared" si="67"/>
        <v>837.15952658281117</v>
      </c>
      <c r="BJ219" s="264">
        <f t="shared" si="71"/>
        <v>20.159526582811139</v>
      </c>
      <c r="BK219" s="264" t="b">
        <f t="shared" si="68"/>
        <v>0</v>
      </c>
      <c r="BL219" s="272">
        <v>37</v>
      </c>
    </row>
    <row r="220" spans="57:64" x14ac:dyDescent="0.2">
      <c r="BF220" s="294"/>
    </row>
    <row r="221" spans="57:64" x14ac:dyDescent="0.2">
      <c r="BF221" s="294"/>
    </row>
    <row r="222" spans="57:64" x14ac:dyDescent="0.2">
      <c r="BF222" s="294"/>
    </row>
    <row r="223" spans="57:64" x14ac:dyDescent="0.2">
      <c r="BF223" s="294"/>
    </row>
    <row r="224" spans="57:64" x14ac:dyDescent="0.2">
      <c r="BF224" s="294"/>
    </row>
    <row r="225" spans="58:58" x14ac:dyDescent="0.2">
      <c r="BF225" s="294"/>
    </row>
  </sheetData>
  <sheetProtection algorithmName="SHA-512" hashValue="luu6kpbCtEYwex8TtFN0WfxHq/dQlAjtIesZQuq7GTR1/zph7rtacJiQ5laLTKP+HLFFpZSqSjY1mwSShfftPQ==" saltValue="rKOyPZpxOoVw7Ivw74hY7A==" spinCount="100000" sheet="1" objects="1" scenarios="1" selectLockedCells="1"/>
  <protectedRanges>
    <protectedRange sqref="B144 B147 D150:D163 B174 D177:D202" name="Range1"/>
  </protectedRanges>
  <mergeCells count="23">
    <mergeCell ref="DW173:DX173"/>
    <mergeCell ref="CB33:CC33"/>
    <mergeCell ref="CQ33:CR33"/>
    <mergeCell ref="BV160:BW160"/>
    <mergeCell ref="CH160:CI160"/>
    <mergeCell ref="BQ25:BR25"/>
    <mergeCell ref="CQ26:DA27"/>
    <mergeCell ref="BQ29:CA30"/>
    <mergeCell ref="DK171:DM171"/>
    <mergeCell ref="DK173:DL173"/>
    <mergeCell ref="DF81:DG81"/>
    <mergeCell ref="CZ30:DA30"/>
    <mergeCell ref="CB30:CC30"/>
    <mergeCell ref="CO27:CP27"/>
    <mergeCell ref="BQ27:BR27"/>
    <mergeCell ref="BQ32:CA33"/>
    <mergeCell ref="CS32:DA33"/>
    <mergeCell ref="BV158:BX158"/>
    <mergeCell ref="B142:B143"/>
    <mergeCell ref="AZ147:BA147"/>
    <mergeCell ref="AZ174:BA174"/>
    <mergeCell ref="W147:AA147"/>
    <mergeCell ref="B126:E126"/>
  </mergeCells>
  <phoneticPr fontId="2" type="noConversion"/>
  <conditionalFormatting sqref="B150:B163">
    <cfRule type="cellIs" dxfId="535" priority="419" stopIfTrue="1" operator="greaterThan">
      <formula>$B$147</formula>
    </cfRule>
  </conditionalFormatting>
  <conditionalFormatting sqref="B178:BA178">
    <cfRule type="expression" dxfId="534" priority="25">
      <formula>$B$174&lt;2</formula>
    </cfRule>
  </conditionalFormatting>
  <conditionalFormatting sqref="B179:BA179">
    <cfRule type="expression" dxfId="533" priority="24">
      <formula>$B$174&lt;3</formula>
    </cfRule>
  </conditionalFormatting>
  <conditionalFormatting sqref="B180:BA180">
    <cfRule type="expression" dxfId="532" priority="23">
      <formula>$B$174&lt;4</formula>
    </cfRule>
  </conditionalFormatting>
  <conditionalFormatting sqref="B181:BA181">
    <cfRule type="expression" dxfId="531" priority="22">
      <formula>$B$174&lt;5</formula>
    </cfRule>
  </conditionalFormatting>
  <conditionalFormatting sqref="B182:BA182">
    <cfRule type="expression" dxfId="530" priority="21">
      <formula>$B$174&lt;6</formula>
    </cfRule>
  </conditionalFormatting>
  <conditionalFormatting sqref="B183:BA183">
    <cfRule type="expression" dxfId="529" priority="20">
      <formula>$B$174&lt;7</formula>
    </cfRule>
  </conditionalFormatting>
  <conditionalFormatting sqref="B184:BA184">
    <cfRule type="expression" dxfId="528" priority="19">
      <formula>$B$174&lt;8</formula>
    </cfRule>
  </conditionalFormatting>
  <conditionalFormatting sqref="B185:BA185">
    <cfRule type="expression" dxfId="527" priority="18">
      <formula>$B$174&lt;9</formula>
    </cfRule>
  </conditionalFormatting>
  <conditionalFormatting sqref="B186:BA186">
    <cfRule type="expression" dxfId="526" priority="17">
      <formula>$B$174&lt;10</formula>
    </cfRule>
  </conditionalFormatting>
  <conditionalFormatting sqref="B187:BA187">
    <cfRule type="expression" dxfId="525" priority="16">
      <formula>$B$174&lt;11</formula>
    </cfRule>
  </conditionalFormatting>
  <conditionalFormatting sqref="B188:BA188">
    <cfRule type="expression" dxfId="524" priority="15">
      <formula>$B$174&lt;12</formula>
    </cfRule>
  </conditionalFormatting>
  <conditionalFormatting sqref="B189:BA189">
    <cfRule type="expression" dxfId="523" priority="14">
      <formula>$B$174&lt;13</formula>
    </cfRule>
  </conditionalFormatting>
  <conditionalFormatting sqref="B190:BA190">
    <cfRule type="expression" dxfId="522" priority="13">
      <formula>$B$174&lt;14</formula>
    </cfRule>
  </conditionalFormatting>
  <conditionalFormatting sqref="B191:BA191">
    <cfRule type="expression" dxfId="521" priority="12">
      <formula>$B$174&lt;15</formula>
    </cfRule>
  </conditionalFormatting>
  <conditionalFormatting sqref="B192:BA192">
    <cfRule type="expression" dxfId="520" priority="11">
      <formula>$B$174&lt;16</formula>
    </cfRule>
  </conditionalFormatting>
  <conditionalFormatting sqref="B193:BA193">
    <cfRule type="expression" dxfId="519" priority="10">
      <formula>$B$174&lt;17</formula>
    </cfRule>
  </conditionalFormatting>
  <conditionalFormatting sqref="B194:BA194">
    <cfRule type="expression" dxfId="518" priority="9">
      <formula>$B$174&lt;18</formula>
    </cfRule>
  </conditionalFormatting>
  <conditionalFormatting sqref="B195:BA195">
    <cfRule type="expression" dxfId="517" priority="8">
      <formula>$B$174&lt;19</formula>
    </cfRule>
  </conditionalFormatting>
  <conditionalFormatting sqref="B196:BA196">
    <cfRule type="expression" dxfId="516" priority="7">
      <formula>$B$174&lt;20</formula>
    </cfRule>
  </conditionalFormatting>
  <conditionalFormatting sqref="B197:BA197">
    <cfRule type="expression" dxfId="515" priority="6">
      <formula>$B$174&lt;21</formula>
    </cfRule>
  </conditionalFormatting>
  <conditionalFormatting sqref="B198:BA198">
    <cfRule type="expression" dxfId="514" priority="5">
      <formula>$B$174&lt;22</formula>
    </cfRule>
  </conditionalFormatting>
  <conditionalFormatting sqref="B199:BA199">
    <cfRule type="expression" dxfId="513" priority="4">
      <formula>$B$174&lt;23</formula>
    </cfRule>
  </conditionalFormatting>
  <conditionalFormatting sqref="B200:BA200">
    <cfRule type="expression" dxfId="512" priority="3">
      <formula>$B$174&lt;24</formula>
    </cfRule>
  </conditionalFormatting>
  <conditionalFormatting sqref="B201:BA201">
    <cfRule type="expression" dxfId="511" priority="2">
      <formula>$B$174&lt;25</formula>
    </cfRule>
  </conditionalFormatting>
  <conditionalFormatting sqref="B202:BA202">
    <cfRule type="expression" dxfId="510" priority="1">
      <formula>$B$174&lt;26</formula>
    </cfRule>
  </conditionalFormatting>
  <conditionalFormatting sqref="C134">
    <cfRule type="cellIs" dxfId="509" priority="114" stopIfTrue="1" operator="between">
      <formula>"OVERLOAD"</formula>
      <formula>"OVERLOAD"</formula>
    </cfRule>
  </conditionalFormatting>
  <conditionalFormatting sqref="D143">
    <cfRule type="cellIs" dxfId="508" priority="113" stopIfTrue="1" operator="equal">
      <formula>"USE EXBAR AR AT THE FRONT"</formula>
    </cfRule>
  </conditionalFormatting>
  <conditionalFormatting sqref="D144">
    <cfRule type="cellIs" dxfId="507" priority="112" stopIfTrue="1" operator="equal">
      <formula>"USE EXBAR AR AT THE BACK"</formula>
    </cfRule>
  </conditionalFormatting>
  <conditionalFormatting sqref="D150:D163">
    <cfRule type="cellIs" dxfId="506" priority="420" stopIfTrue="1" operator="notEqual">
      <formula>0</formula>
    </cfRule>
  </conditionalFormatting>
  <conditionalFormatting sqref="D177:D202">
    <cfRule type="cellIs" dxfId="505" priority="77" operator="notEqual">
      <formula>0</formula>
    </cfRule>
  </conditionalFormatting>
  <conditionalFormatting sqref="D141:G142">
    <cfRule type="cellIs" dxfId="504" priority="421" stopIfTrue="1" operator="equal">
      <formula>"change the angle of frame or of cabinets"</formula>
    </cfRule>
  </conditionalFormatting>
  <conditionalFormatting sqref="D150:G150">
    <cfRule type="expression" dxfId="503" priority="164" stopIfTrue="1">
      <formula>$B$147&lt;1</formula>
    </cfRule>
  </conditionalFormatting>
  <conditionalFormatting sqref="D151:AB151">
    <cfRule type="expression" dxfId="502" priority="163" stopIfTrue="1">
      <formula>$B$147&lt;2</formula>
    </cfRule>
  </conditionalFormatting>
  <conditionalFormatting sqref="D152:AB152">
    <cfRule type="expression" dxfId="501" priority="162" stopIfTrue="1">
      <formula>$B$147&lt;3</formula>
    </cfRule>
  </conditionalFormatting>
  <conditionalFormatting sqref="D153:AB153">
    <cfRule type="expression" dxfId="500" priority="161" stopIfTrue="1">
      <formula>$B$147&lt;4</formula>
    </cfRule>
  </conditionalFormatting>
  <conditionalFormatting sqref="D154:AB154">
    <cfRule type="expression" dxfId="499" priority="160" stopIfTrue="1">
      <formula>$B$147&lt;5</formula>
    </cfRule>
  </conditionalFormatting>
  <conditionalFormatting sqref="D155:AB155">
    <cfRule type="expression" dxfId="498" priority="159" stopIfTrue="1">
      <formula>$B$147&lt;6</formula>
    </cfRule>
  </conditionalFormatting>
  <conditionalFormatting sqref="D156:AB156">
    <cfRule type="expression" dxfId="497" priority="158" stopIfTrue="1">
      <formula>$B$147&lt;7</formula>
    </cfRule>
  </conditionalFormatting>
  <conditionalFormatting sqref="D157:AB157">
    <cfRule type="expression" dxfId="496" priority="157" stopIfTrue="1">
      <formula>$B$147&lt;8</formula>
    </cfRule>
  </conditionalFormatting>
  <conditionalFormatting sqref="D158:AB158">
    <cfRule type="expression" dxfId="495" priority="156" stopIfTrue="1">
      <formula>$B$147&lt;9</formula>
    </cfRule>
  </conditionalFormatting>
  <conditionalFormatting sqref="D159:AB159">
    <cfRule type="expression" dxfId="494" priority="155" stopIfTrue="1">
      <formula>$B$147&lt;10</formula>
    </cfRule>
  </conditionalFormatting>
  <conditionalFormatting sqref="D160:AB160">
    <cfRule type="expression" dxfId="493" priority="154" stopIfTrue="1">
      <formula>$B$147&lt;11</formula>
    </cfRule>
  </conditionalFormatting>
  <conditionalFormatting sqref="D161:AB163 AX161:BA163">
    <cfRule type="expression" dxfId="492" priority="152" stopIfTrue="1">
      <formula>$B$147&lt;12</formula>
    </cfRule>
  </conditionalFormatting>
  <conditionalFormatting sqref="E143:E144 E143:G143">
    <cfRule type="cellIs" dxfId="491" priority="423" stopIfTrue="1" operator="equal">
      <formula>"USE EXBAR VR AT THE FRONT"</formula>
    </cfRule>
  </conditionalFormatting>
  <conditionalFormatting sqref="E144:G144">
    <cfRule type="cellIs" dxfId="490" priority="422" stopIfTrue="1" operator="equal">
      <formula>"USE EXBAR VR AT THE BACK"</formula>
    </cfRule>
  </conditionalFormatting>
  <conditionalFormatting sqref="K150:O150 R150 T150:Y150 AB150">
    <cfRule type="expression" dxfId="489" priority="417" stopIfTrue="1">
      <formula>$B$147&lt;1</formula>
    </cfRule>
  </conditionalFormatting>
  <conditionalFormatting sqref="U26 AB26:AE26 U29:U33 AB29:AE33 U60 AB60:AE60 U103:U134 AB103:AE134">
    <cfRule type="cellIs" dxfId="488" priority="428" stopIfTrue="1" operator="between">
      <formula>"OVERLOAD"</formula>
      <formula>"OVERLOAD"</formula>
    </cfRule>
  </conditionalFormatting>
  <conditionalFormatting sqref="Z150:AA150">
    <cfRule type="expression" dxfId="487" priority="147" stopIfTrue="1">
      <formula>$B$150&lt;1</formula>
    </cfRule>
  </conditionalFormatting>
  <conditionalFormatting sqref="AC151:AC163">
    <cfRule type="expression" dxfId="486" priority="143" stopIfTrue="1">
      <formula>$B$150&lt;1</formula>
    </cfRule>
  </conditionalFormatting>
  <conditionalFormatting sqref="AC150:AD150">
    <cfRule type="expression" dxfId="485" priority="146" stopIfTrue="1">
      <formula>$B$150&lt;1</formula>
    </cfRule>
  </conditionalFormatting>
  <conditionalFormatting sqref="AD150:AE163">
    <cfRule type="expression" dxfId="484" priority="115" stopIfTrue="1">
      <formula>$B$150&lt;1</formula>
    </cfRule>
  </conditionalFormatting>
  <conditionalFormatting sqref="AX151:BA151">
    <cfRule type="expression" dxfId="483" priority="415" stopIfTrue="1">
      <formula>$B$147&lt;2</formula>
    </cfRule>
  </conditionalFormatting>
  <conditionalFormatting sqref="AX152:BA152">
    <cfRule type="expression" dxfId="482" priority="414" stopIfTrue="1">
      <formula>$B$147&lt;3</formula>
    </cfRule>
  </conditionalFormatting>
  <conditionalFormatting sqref="AX153:BA153">
    <cfRule type="expression" dxfId="481" priority="413" stopIfTrue="1">
      <formula>$B$147&lt;4</formula>
    </cfRule>
  </conditionalFormatting>
  <conditionalFormatting sqref="AX154:BA154">
    <cfRule type="expression" dxfId="480" priority="412" stopIfTrue="1">
      <formula>$B$147&lt;5</formula>
    </cfRule>
  </conditionalFormatting>
  <conditionalFormatting sqref="AX155:BA155">
    <cfRule type="expression" dxfId="479" priority="411" stopIfTrue="1">
      <formula>$B$147&lt;6</formula>
    </cfRule>
  </conditionalFormatting>
  <conditionalFormatting sqref="AX156:BA156">
    <cfRule type="expression" dxfId="478" priority="410" stopIfTrue="1">
      <formula>$B$147&lt;7</formula>
    </cfRule>
  </conditionalFormatting>
  <conditionalFormatting sqref="AX157:BA157">
    <cfRule type="expression" dxfId="477" priority="409" stopIfTrue="1">
      <formula>$B$147&lt;8</formula>
    </cfRule>
  </conditionalFormatting>
  <conditionalFormatting sqref="AX158:BA158">
    <cfRule type="expression" dxfId="476" priority="408" stopIfTrue="1">
      <formula>$B$147&lt;9</formula>
    </cfRule>
  </conditionalFormatting>
  <conditionalFormatting sqref="AX159:BA159">
    <cfRule type="expression" dxfId="475" priority="211" stopIfTrue="1">
      <formula>$B$147&lt;10</formula>
    </cfRule>
  </conditionalFormatting>
  <conditionalFormatting sqref="AX160:BA160">
    <cfRule type="expression" dxfId="474" priority="167" stopIfTrue="1">
      <formula>$B$147&lt;11</formula>
    </cfRule>
  </conditionalFormatting>
  <conditionalFormatting sqref="AZ150:BA163">
    <cfRule type="cellIs" dxfId="473" priority="416" stopIfTrue="1" operator="lessThan">
      <formula>10</formula>
    </cfRule>
  </conditionalFormatting>
  <conditionalFormatting sqref="AZ177:BA202">
    <cfRule type="cellIs" dxfId="472" priority="26" operator="lessThan">
      <formula>10</formula>
    </cfRule>
  </conditionalFormatting>
  <conditionalFormatting sqref="BK183:BK219">
    <cfRule type="cellIs" dxfId="471" priority="100" stopIfTrue="1" operator="equal">
      <formula>FALSE</formula>
    </cfRule>
  </conditionalFormatting>
  <conditionalFormatting sqref="BN26">
    <cfRule type="cellIs" dxfId="470" priority="92" stopIfTrue="1" operator="equal">
      <formula>"negative force at the motor"</formula>
    </cfRule>
  </conditionalFormatting>
  <conditionalFormatting sqref="BN26:BN27">
    <cfRule type="cellIs" dxfId="469" priority="91" operator="equal">
      <formula>"""OK"""</formula>
    </cfRule>
  </conditionalFormatting>
  <conditionalFormatting sqref="BN27">
    <cfRule type="cellIs" dxfId="468" priority="96" stopIfTrue="1" operator="equal">
      <formula>"overload"</formula>
    </cfRule>
  </conditionalFormatting>
  <conditionalFormatting sqref="BN29">
    <cfRule type="cellIs" dxfId="467" priority="90" stopIfTrue="1" operator="equal">
      <formula>"negative force at the motor"</formula>
    </cfRule>
  </conditionalFormatting>
  <conditionalFormatting sqref="BN29:BN30">
    <cfRule type="cellIs" dxfId="466" priority="89" operator="equal">
      <formula>"""OK"""</formula>
    </cfRule>
  </conditionalFormatting>
  <conditionalFormatting sqref="BN32">
    <cfRule type="cellIs" dxfId="465" priority="88" stopIfTrue="1" operator="equal">
      <formula>"negative force at the motor"</formula>
    </cfRule>
  </conditionalFormatting>
  <conditionalFormatting sqref="BN32:BN33">
    <cfRule type="cellIs" dxfId="464" priority="87" operator="equal">
      <formula>"""OK"""</formula>
    </cfRule>
  </conditionalFormatting>
  <conditionalFormatting sqref="BN56 BN59 BN102 BN30 BN33">
    <cfRule type="cellIs" dxfId="463" priority="94" stopIfTrue="1" operator="equal">
      <formula>"overload"</formula>
    </cfRule>
  </conditionalFormatting>
  <conditionalFormatting sqref="BN56 BN102 BN59">
    <cfRule type="cellIs" dxfId="462" priority="93" operator="equal">
      <formula>"""OK"""</formula>
    </cfRule>
  </conditionalFormatting>
  <conditionalFormatting sqref="BO55 BN56:BO56 BO101 BN102:BO102">
    <cfRule type="expression" dxfId="461" priority="84">
      <formula>$B$144&lt;&gt;0</formula>
    </cfRule>
  </conditionalFormatting>
  <conditionalFormatting sqref="BQ57:CE57 CG57:DB57 BQ98:DB99 DK119:DX122 DF194:EC195">
    <cfRule type="cellIs" dxfId="460" priority="424" stopIfTrue="1" operator="equal">
      <formula>FALSE</formula>
    </cfRule>
  </conditionalFormatting>
  <conditionalFormatting sqref="BQ101:CG101 CK101:DA101 CB55:CR55">
    <cfRule type="cellIs" dxfId="459" priority="85" operator="equal">
      <formula>0</formula>
    </cfRule>
  </conditionalFormatting>
  <conditionalFormatting sqref="BQ101:CG101">
    <cfRule type="expression" dxfId="458" priority="83">
      <formula>$B$144=0</formula>
    </cfRule>
  </conditionalFormatting>
  <conditionalFormatting sqref="BV104:CI111 BQ187:CN188">
    <cfRule type="cellIs" dxfId="457" priority="103" stopIfTrue="1" operator="equal">
      <formula>FALSE</formula>
    </cfRule>
  </conditionalFormatting>
  <conditionalFormatting sqref="CB55:CR55">
    <cfRule type="expression" dxfId="456" priority="86">
      <formula>$B$144=0</formula>
    </cfRule>
  </conditionalFormatting>
  <conditionalFormatting sqref="CF56:CF57">
    <cfRule type="cellIs" dxfId="455" priority="80" stopIfTrue="1" operator="equal">
      <formula>FALSE</formula>
    </cfRule>
  </conditionalFormatting>
  <conditionalFormatting sqref="CK101:DA101">
    <cfRule type="expression" dxfId="454" priority="82">
      <formula>$B$144=0</formula>
    </cfRule>
  </conditionalFormatting>
  <conditionalFormatting sqref="DF192:EC192">
    <cfRule type="cellIs" dxfId="453" priority="111" stopIfTrue="1" operator="equal">
      <formula>0</formula>
    </cfRule>
  </conditionalFormatting>
  <dataValidations count="8">
    <dataValidation type="decimal" allowBlank="1" showInputMessage="1" showErrorMessage="1" sqref="F150:G150 F177:G177" xr:uid="{00000000-0002-0000-0200-000000000000}">
      <formula1>0</formula1>
      <formula2>4</formula2>
    </dataValidation>
    <dataValidation type="decimal" allowBlank="1" showInputMessage="1" showErrorMessage="1" sqref="G151:G163 G178:G202 F152:F163 F179:F202" xr:uid="{00000000-0002-0000-0200-000001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47" xr:uid="{00000000-0002-0000-0200-000002000000}">
      <formula1>1</formula1>
      <formula2>12</formula2>
    </dataValidation>
    <dataValidation type="whole" allowBlank="1" showInputMessage="1" showErrorMessage="1" errorTitle="Coda Audio" error="YOU HAVE ENTERED A WRONG NUMBER OF CABINETS" promptTitle="Coda Audio" prompt="ENTER THE NUMBER OF CABINETS FROM 1 UP TO 26" sqref="B174" xr:uid="{00000000-0002-0000-0200-000003000000}">
      <formula1>1</formula1>
      <formula2>26</formula2>
    </dataValidation>
    <dataValidation type="whole" allowBlank="1" showInputMessage="1" showErrorMessage="1" sqref="D177" xr:uid="{00000000-0002-0000-0200-000004000000}">
      <formula1>-2</formula1>
      <formula2>4</formula2>
    </dataValidation>
    <dataValidation type="custom" allowBlank="1" showInputMessage="1" showErrorMessage="1" sqref="D150:D163" xr:uid="{00000000-0002-0000-0200-000005000000}">
      <formula1>OR(D150=0,D150=2.5,D150=5)</formula1>
    </dataValidation>
    <dataValidation type="decimal" allowBlank="1" showInputMessage="1" showErrorMessage="1" sqref="B144" xr:uid="{00000000-0002-0000-0200-000006000000}">
      <formula1>-89.9</formula1>
      <formula2>89.9</formula2>
    </dataValidation>
    <dataValidation type="custom" allowBlank="1" showInputMessage="1" showErrorMessage="1" sqref="D178:D202" xr:uid="{00000000-0002-0000-0200-000007000000}">
      <formula1>OR(D178=0.5,D178=1,D178=2,D178=2.5,D178=3,D178=4,D178=5,D178=6,D178=7,D178=8,D178=9,D178=10)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ignoredErrors>
    <ignoredError sqref="BN26:BO26 BN35:BO56 BN57:BO58 BN28:BO29 BN27 BN31:BO34 BN30 BN59" unlockedFormula="1"/>
  </ignoredErrors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92D050"/>
  </sheetPr>
  <dimension ref="A1:EN225"/>
  <sheetViews>
    <sheetView topLeftCell="A25" zoomScale="50" zoomScaleNormal="50" workbookViewId="0">
      <selection activeCell="D153" sqref="D153"/>
    </sheetView>
  </sheetViews>
  <sheetFormatPr baseColWidth="10" defaultColWidth="9.1640625" defaultRowHeight="18" x14ac:dyDescent="0.2"/>
  <cols>
    <col min="1" max="1" width="1.5" customWidth="1"/>
    <col min="2" max="2" width="37.33203125" style="24" customWidth="1"/>
    <col min="3" max="3" width="19.83203125" style="24" hidden="1" customWidth="1"/>
    <col min="4" max="4" width="33.1640625" customWidth="1"/>
    <col min="5" max="5" width="47.83203125" customWidth="1"/>
    <col min="6" max="6" width="22.5" hidden="1" customWidth="1"/>
    <col min="7" max="7" width="44" hidden="1" customWidth="1"/>
    <col min="8" max="27" width="15.1640625" style="48" hidden="1" customWidth="1"/>
    <col min="28" max="28" width="33.83203125" style="48" customWidth="1"/>
    <col min="29" max="39" width="15.1640625" style="48" hidden="1" customWidth="1"/>
    <col min="40" max="40" width="20.83203125" style="48" hidden="1" customWidth="1"/>
    <col min="41" max="41" width="32.83203125" style="48" hidden="1" customWidth="1"/>
    <col min="42" max="52" width="15.1640625" style="48" hidden="1" customWidth="1"/>
    <col min="53" max="54" width="15.1640625" style="48" customWidth="1"/>
    <col min="55" max="56" width="15.1640625" hidden="1" customWidth="1"/>
    <col min="57" max="59" width="7.1640625" hidden="1" customWidth="1"/>
    <col min="60" max="60" width="136" hidden="1" customWidth="1"/>
    <col min="61" max="61" width="17" hidden="1" customWidth="1"/>
    <col min="62" max="63" width="16.33203125" hidden="1" customWidth="1"/>
    <col min="64" max="64" width="9.5" hidden="1" customWidth="1"/>
    <col min="65" max="65" width="40.6640625" hidden="1" customWidth="1"/>
    <col min="66" max="66" width="34.6640625" style="65" hidden="1" customWidth="1"/>
    <col min="67" max="67" width="24.83203125" customWidth="1"/>
    <col min="68" max="68" width="34.6640625" style="43" bestFit="1" customWidth="1"/>
    <col min="69" max="69" width="56.6640625" bestFit="1" customWidth="1"/>
    <col min="70" max="106" width="7.1640625" customWidth="1"/>
    <col min="107" max="107" width="7.6640625" hidden="1" customWidth="1"/>
    <col min="108" max="108" width="16" hidden="1" customWidth="1"/>
    <col min="109" max="109" width="41" hidden="1" customWidth="1"/>
    <col min="110" max="110" width="41.5" hidden="1" customWidth="1"/>
    <col min="111" max="134" width="6.5" hidden="1" customWidth="1"/>
    <col min="135" max="140" width="6.5" customWidth="1"/>
    <col min="144" max="144" width="11.5" customWidth="1"/>
    <col min="145" max="145" width="9.33203125" customWidth="1"/>
  </cols>
  <sheetData>
    <row r="1" spans="2:15" ht="20" hidden="1" x14ac:dyDescent="0.2">
      <c r="D1" s="25" t="s">
        <v>93</v>
      </c>
      <c r="E1" s="25" t="s">
        <v>94</v>
      </c>
      <c r="F1" s="25" t="s">
        <v>95</v>
      </c>
      <c r="G1" s="789" t="s">
        <v>165</v>
      </c>
      <c r="H1" s="790">
        <v>18000</v>
      </c>
      <c r="I1" s="946"/>
      <c r="J1" s="946"/>
      <c r="K1" s="946"/>
      <c r="L1" s="946"/>
      <c r="M1" s="946"/>
      <c r="N1" s="946"/>
      <c r="O1" s="947"/>
    </row>
    <row r="2" spans="2:15" ht="20" hidden="1" x14ac:dyDescent="0.2">
      <c r="B2" s="295" t="s">
        <v>24</v>
      </c>
      <c r="C2" s="28">
        <v>688</v>
      </c>
      <c r="D2" s="29">
        <f>+COS(($B$147*-1)*3.14159265358979/180)*C2</f>
        <v>687.89521426759723</v>
      </c>
      <c r="E2" s="30">
        <f>+COS(($B$147*-1)*3.14159265358979/180)*43</f>
        <v>42.993450891724827</v>
      </c>
      <c r="F2" s="31">
        <f>+COS((($B$147*-1)+72.969997)*3.14159265358979/180)*162.1867</f>
        <v>50.199212202667262</v>
      </c>
      <c r="G2" s="793" t="s">
        <v>157</v>
      </c>
      <c r="H2" s="757">
        <v>77</v>
      </c>
      <c r="I2" s="43"/>
      <c r="J2" s="43"/>
      <c r="K2" s="43"/>
      <c r="L2" s="43"/>
      <c r="M2" s="43"/>
      <c r="N2" s="43"/>
      <c r="O2" s="935"/>
    </row>
    <row r="3" spans="2:15" ht="21" hidden="1" thickBot="1" x14ac:dyDescent="0.25">
      <c r="B3" s="27" t="s">
        <v>102</v>
      </c>
      <c r="C3" s="32">
        <f>+C9-47.5</f>
        <v>232.39458857326326</v>
      </c>
      <c r="D3" s="29">
        <f>+C9-F2</f>
        <v>229.69537637059599</v>
      </c>
      <c r="G3" s="793" t="s">
        <v>158</v>
      </c>
      <c r="H3" s="758">
        <v>215</v>
      </c>
      <c r="I3" s="165"/>
      <c r="J3" s="43"/>
      <c r="K3" s="43"/>
      <c r="L3" s="43"/>
      <c r="M3" s="43"/>
      <c r="N3" s="43"/>
      <c r="O3" s="935"/>
    </row>
    <row r="4" spans="2:15" ht="58" hidden="1" thickBot="1" x14ac:dyDescent="0.25">
      <c r="B4" s="33" t="s">
        <v>103</v>
      </c>
      <c r="C4" s="34">
        <v>1075</v>
      </c>
      <c r="D4" s="29">
        <f>+COS(($B$147*-1)*3.14159265358979/180)*C4</f>
        <v>1074.8362722931206</v>
      </c>
      <c r="G4" s="795" t="s">
        <v>178</v>
      </c>
      <c r="H4" s="762">
        <v>860</v>
      </c>
      <c r="I4" s="783">
        <v>1</v>
      </c>
      <c r="J4" s="1047" t="s">
        <v>173</v>
      </c>
      <c r="K4" s="1054"/>
      <c r="L4" s="1054"/>
      <c r="M4" s="1054"/>
      <c r="N4" s="43"/>
      <c r="O4" s="935"/>
    </row>
    <row r="5" spans="2:15" ht="38" hidden="1" x14ac:dyDescent="0.2">
      <c r="B5" s="33" t="s">
        <v>104</v>
      </c>
      <c r="C5" s="34">
        <f>+C9+425.5</f>
        <v>705.39458857326326</v>
      </c>
      <c r="D5" s="29">
        <f>+(COS(($B$147*-1)*3.14159265358979/180)*473)+$D$3</f>
        <v>702.62333617956904</v>
      </c>
      <c r="G5" s="795" t="s">
        <v>159</v>
      </c>
      <c r="H5" s="762">
        <v>688</v>
      </c>
      <c r="I5" s="43"/>
      <c r="J5" s="761" t="s">
        <v>162</v>
      </c>
      <c r="K5" s="761" t="s">
        <v>170</v>
      </c>
      <c r="L5" s="771" t="s">
        <v>169</v>
      </c>
      <c r="M5" s="924"/>
      <c r="N5" s="43"/>
      <c r="O5" s="935"/>
    </row>
    <row r="6" spans="2:15" ht="20" hidden="1" x14ac:dyDescent="0.2">
      <c r="B6" s="170"/>
      <c r="C6" s="170"/>
      <c r="G6" s="795" t="s">
        <v>204</v>
      </c>
      <c r="H6" s="762">
        <v>602</v>
      </c>
      <c r="I6" s="43"/>
      <c r="J6" s="763">
        <f>+H9/H8*BR27</f>
        <v>219.3171516926399</v>
      </c>
      <c r="K6" s="763">
        <f>((H8-H9)/H8)*BR27</f>
        <v>-150.64639026229949</v>
      </c>
      <c r="L6" s="763">
        <f>+CP27</f>
        <v>129.62923856965961</v>
      </c>
      <c r="M6" s="761" t="s">
        <v>168</v>
      </c>
      <c r="N6" s="43"/>
      <c r="O6" s="935"/>
    </row>
    <row r="7" spans="2:15" ht="20" hidden="1" x14ac:dyDescent="0.2">
      <c r="B7" s="296" t="s">
        <v>16</v>
      </c>
      <c r="C7" s="297">
        <f>+C11+C14+4.5+0.5+30</f>
        <v>198.3</v>
      </c>
      <c r="G7" s="796" t="s">
        <v>175</v>
      </c>
      <c r="H7" s="756">
        <f>(+SIN(($B$147*-1)*3.14159265358979/180)*H2)</f>
        <v>-1.343835295670829</v>
      </c>
      <c r="I7" s="43"/>
      <c r="J7" s="764">
        <f>ABS($H$1/J6)</f>
        <v>82.072924352154374</v>
      </c>
      <c r="K7" s="764">
        <f>ABS($H$1/K6)</f>
        <v>119.48510660400902</v>
      </c>
      <c r="L7" s="764">
        <f>ABS($H$1/L6)</f>
        <v>138.8575617554618</v>
      </c>
      <c r="M7" s="766" t="s">
        <v>167</v>
      </c>
      <c r="N7" s="43"/>
      <c r="O7" s="935"/>
    </row>
    <row r="8" spans="2:15" ht="20" hidden="1" x14ac:dyDescent="0.2">
      <c r="B8" s="296" t="s">
        <v>17</v>
      </c>
      <c r="C8" s="296">
        <f>+AR153</f>
        <v>746.88138292997826</v>
      </c>
      <c r="G8" s="796" t="s">
        <v>174</v>
      </c>
      <c r="H8" s="756">
        <f>(+COS(($B$147*-1)*3.14159265358979/180)*H3)</f>
        <v>214.96725445862413</v>
      </c>
      <c r="I8" s="43"/>
      <c r="J8" s="1045">
        <f>ABS($E$20/BR27)</f>
        <v>116.49790730972448</v>
      </c>
      <c r="K8" s="1045"/>
      <c r="L8" s="1045">
        <f>ABS($E$20/CP27)</f>
        <v>61.714471891316357</v>
      </c>
      <c r="M8" s="1044" t="s">
        <v>308</v>
      </c>
      <c r="N8" s="43"/>
      <c r="O8" s="935"/>
    </row>
    <row r="9" spans="2:15" ht="21" hidden="1" thickBot="1" x14ac:dyDescent="0.25">
      <c r="B9" s="296" t="s">
        <v>14</v>
      </c>
      <c r="C9" s="296">
        <f>+AO149</f>
        <v>279.89458857326326</v>
      </c>
      <c r="G9" s="793" t="s">
        <v>172</v>
      </c>
      <c r="H9" s="756">
        <f>+D2+H7</f>
        <v>686.5513789719264</v>
      </c>
      <c r="I9" s="43"/>
      <c r="J9" s="43"/>
      <c r="K9" s="43"/>
      <c r="L9" s="43"/>
      <c r="M9" s="43"/>
      <c r="N9" s="43"/>
      <c r="O9" s="935"/>
    </row>
    <row r="10" spans="2:15" ht="26.25" hidden="1" customHeight="1" thickBot="1" x14ac:dyDescent="0.25">
      <c r="B10" s="955" t="s">
        <v>101</v>
      </c>
      <c r="C10" s="975">
        <v>72</v>
      </c>
      <c r="D10" s="956" t="s">
        <v>240</v>
      </c>
      <c r="G10" s="927"/>
      <c r="H10" s="43"/>
      <c r="I10" s="783">
        <v>2</v>
      </c>
      <c r="J10" s="1047" t="s">
        <v>180</v>
      </c>
      <c r="K10" s="1047"/>
      <c r="L10" s="1049"/>
      <c r="M10" s="1049"/>
      <c r="N10" s="43"/>
      <c r="O10" s="935"/>
    </row>
    <row r="11" spans="2:15" ht="26.25" hidden="1" customHeight="1" x14ac:dyDescent="0.2">
      <c r="B11" s="301" t="s">
        <v>265</v>
      </c>
      <c r="C11" s="975">
        <f>+B150*C10+31</f>
        <v>103</v>
      </c>
      <c r="G11" s="793" t="s">
        <v>171</v>
      </c>
      <c r="H11" s="756">
        <f>+D2-H7</f>
        <v>689.23904956326805</v>
      </c>
      <c r="I11" s="43"/>
      <c r="J11" s="771" t="s">
        <v>163</v>
      </c>
      <c r="K11" s="761" t="s">
        <v>160</v>
      </c>
      <c r="L11" s="761" t="s">
        <v>161</v>
      </c>
      <c r="M11" s="924"/>
      <c r="N11" s="43"/>
      <c r="O11" s="935"/>
    </row>
    <row r="12" spans="2:15" ht="26.25" hidden="1" customHeight="1" thickBot="1" x14ac:dyDescent="0.25">
      <c r="B12" s="301" t="s">
        <v>119</v>
      </c>
      <c r="C12" s="299">
        <v>747</v>
      </c>
      <c r="D12" s="300"/>
      <c r="G12" s="927"/>
      <c r="H12" s="46"/>
      <c r="I12" s="43"/>
      <c r="J12" s="763">
        <f>(CC30)</f>
        <v>155.92276143034039</v>
      </c>
      <c r="K12" s="763">
        <f>((+H8-H11)/H8*DA30)</f>
        <v>-93.494839754203809</v>
      </c>
      <c r="L12" s="763">
        <f>(H11/H8*DA30)</f>
        <v>135.87207832386341</v>
      </c>
      <c r="M12" s="761" t="s">
        <v>168</v>
      </c>
      <c r="N12" s="43"/>
      <c r="O12" s="935"/>
    </row>
    <row r="13" spans="2:15" ht="26.25" hidden="1" customHeight="1" thickBot="1" x14ac:dyDescent="0.25">
      <c r="B13" s="955" t="s">
        <v>232</v>
      </c>
      <c r="C13" s="975">
        <v>29.3</v>
      </c>
      <c r="D13" s="956" t="s">
        <v>222</v>
      </c>
      <c r="G13" s="927"/>
      <c r="H13" s="43"/>
      <c r="I13" s="43"/>
      <c r="J13" s="764">
        <f>ABS($H$1/J12)</f>
        <v>115.44177280391246</v>
      </c>
      <c r="K13" s="764">
        <f>ABS($H$1/K12)</f>
        <v>192.52399434366285</v>
      </c>
      <c r="L13" s="764">
        <f>ABS($H$1/L12)</f>
        <v>132.47754963382079</v>
      </c>
      <c r="M13" s="766" t="s">
        <v>167</v>
      </c>
      <c r="N13" s="43"/>
      <c r="O13" s="935"/>
    </row>
    <row r="14" spans="2:15" ht="26.25" hidden="1" customHeight="1" thickBot="1" x14ac:dyDescent="0.25">
      <c r="B14" s="301" t="s">
        <v>232</v>
      </c>
      <c r="C14" s="975">
        <f>(+B174*C13)+31</f>
        <v>60.3</v>
      </c>
      <c r="D14" s="300"/>
      <c r="G14" s="927"/>
      <c r="H14" s="43"/>
      <c r="I14" s="43"/>
      <c r="J14" s="1045">
        <f>ABS($E$20/CC30)</f>
        <v>51.307454579516651</v>
      </c>
      <c r="K14" s="1045"/>
      <c r="L14" s="1045">
        <f>ABS($E$20/DA30)</f>
        <v>188.78058764611615</v>
      </c>
      <c r="M14" s="1044" t="s">
        <v>308</v>
      </c>
      <c r="N14" s="43"/>
      <c r="O14" s="935"/>
    </row>
    <row r="15" spans="2:15" ht="26.25" hidden="1" customHeight="1" thickBot="1" x14ac:dyDescent="0.25">
      <c r="B15" s="301" t="s">
        <v>234</v>
      </c>
      <c r="C15" s="975">
        <v>492.38470000000001</v>
      </c>
      <c r="D15" s="956" t="s">
        <v>229</v>
      </c>
      <c r="G15" s="927"/>
      <c r="H15" s="43"/>
      <c r="I15" s="43"/>
      <c r="J15" s="43"/>
      <c r="K15" s="43"/>
      <c r="L15" s="43"/>
      <c r="M15" s="43"/>
      <c r="N15" s="43"/>
      <c r="O15" s="935"/>
    </row>
    <row r="16" spans="2:15" ht="26.25" hidden="1" customHeight="1" thickBot="1" x14ac:dyDescent="0.25">
      <c r="B16" s="302"/>
      <c r="C16" s="302"/>
      <c r="D16" s="300"/>
      <c r="G16" s="793" t="s">
        <v>176</v>
      </c>
      <c r="H16" s="756">
        <f>+D2+H7-BM107</f>
        <v>-16.07195720764264</v>
      </c>
      <c r="I16" s="783" t="s">
        <v>196</v>
      </c>
      <c r="J16" s="1047" t="s">
        <v>177</v>
      </c>
      <c r="K16" s="1054"/>
      <c r="L16" s="1054"/>
      <c r="M16" s="1054"/>
      <c r="N16" s="43"/>
      <c r="O16" s="935"/>
    </row>
    <row r="17" spans="2:109" ht="20" hidden="1" x14ac:dyDescent="0.2">
      <c r="B17" s="302"/>
      <c r="C17" s="302"/>
      <c r="D17" s="300"/>
      <c r="G17" s="927"/>
      <c r="H17" s="46"/>
      <c r="I17" s="798"/>
      <c r="J17" s="761" t="s">
        <v>162</v>
      </c>
      <c r="K17" s="761" t="s">
        <v>170</v>
      </c>
      <c r="L17" s="761"/>
      <c r="M17" s="924"/>
      <c r="N17" s="43"/>
      <c r="O17" s="935"/>
    </row>
    <row r="18" spans="2:109" ht="20" hidden="1" x14ac:dyDescent="0.2">
      <c r="B18" s="37" t="s">
        <v>212</v>
      </c>
      <c r="C18" s="187">
        <v>5800</v>
      </c>
      <c r="D18" s="187">
        <v>10000</v>
      </c>
      <c r="G18" s="927"/>
      <c r="H18" s="43"/>
      <c r="I18" s="43"/>
      <c r="J18" s="763">
        <f>+H16/H8*BR25</f>
        <v>-14.825835322230288</v>
      </c>
      <c r="K18" s="763">
        <f>((H8-H16)/H8)*BR25</f>
        <v>213.1258353222303</v>
      </c>
      <c r="L18" s="763"/>
      <c r="M18" s="761" t="s">
        <v>168</v>
      </c>
      <c r="N18" s="43"/>
      <c r="O18" s="935"/>
    </row>
    <row r="19" spans="2:109" ht="20" hidden="1" x14ac:dyDescent="0.2">
      <c r="B19" s="37" t="s">
        <v>241</v>
      </c>
      <c r="C19" s="187">
        <v>5800</v>
      </c>
      <c r="D19" s="187">
        <v>5800</v>
      </c>
      <c r="G19" s="927"/>
      <c r="H19" s="43"/>
      <c r="I19" s="43"/>
      <c r="J19" s="764">
        <f>ABS($H$1/J18)</f>
        <v>1214.0968524728098</v>
      </c>
      <c r="K19" s="764">
        <f>ABS($H$1/K18)</f>
        <v>84.457146984481483</v>
      </c>
      <c r="L19" s="764"/>
      <c r="M19" s="766" t="s">
        <v>167</v>
      </c>
      <c r="N19" s="43"/>
      <c r="O19" s="935"/>
    </row>
    <row r="20" spans="2:109" ht="20" hidden="1" x14ac:dyDescent="0.2">
      <c r="B20" s="37" t="s">
        <v>212</v>
      </c>
      <c r="C20" s="187">
        <v>8000</v>
      </c>
      <c r="D20" s="187">
        <v>8000</v>
      </c>
      <c r="E20" s="38">
        <v>8000</v>
      </c>
      <c r="G20" s="927"/>
      <c r="H20" s="43"/>
      <c r="I20" s="43"/>
      <c r="J20" s="1045">
        <f>ABS($E$20/BR25)</f>
        <v>40.342914775592533</v>
      </c>
      <c r="K20" s="1045"/>
      <c r="L20" s="1045"/>
      <c r="M20" s="1046" t="s">
        <v>308</v>
      </c>
      <c r="N20" s="43"/>
      <c r="O20" s="935"/>
    </row>
    <row r="21" spans="2:109" ht="19" hidden="1" thickBot="1" x14ac:dyDescent="0.25">
      <c r="B21" s="187"/>
      <c r="C21" s="187" t="s">
        <v>18</v>
      </c>
      <c r="D21" s="187" t="s">
        <v>19</v>
      </c>
      <c r="G21" s="927"/>
      <c r="H21" s="43"/>
      <c r="I21" s="43"/>
      <c r="J21" s="43"/>
      <c r="K21" s="43"/>
      <c r="L21" s="43"/>
      <c r="M21" s="43"/>
      <c r="N21" s="43"/>
      <c r="O21" s="935"/>
    </row>
    <row r="22" spans="2:109" ht="21" hidden="1" thickBot="1" x14ac:dyDescent="0.25">
      <c r="B22" s="303" t="s">
        <v>58</v>
      </c>
      <c r="C22" s="187">
        <f>+((C8-C9)/C8)*C7</f>
        <v>123.9868651668057</v>
      </c>
      <c r="D22" s="187">
        <f>+(C9/C8)*C7</f>
        <v>74.313134833194312</v>
      </c>
      <c r="G22" s="793" t="s">
        <v>164</v>
      </c>
      <c r="H22" s="756">
        <f>(+COS(($B$147*-1)*3.14159265358979/180)*(H4))</f>
        <v>859.8690178344965</v>
      </c>
      <c r="I22" s="783" t="s">
        <v>196</v>
      </c>
      <c r="J22" s="1047" t="s">
        <v>199</v>
      </c>
      <c r="K22" s="1054"/>
      <c r="L22" s="1054"/>
      <c r="M22" s="1054"/>
      <c r="N22" s="43"/>
      <c r="O22" s="935"/>
    </row>
    <row r="23" spans="2:109" ht="20" hidden="1" x14ac:dyDescent="0.2">
      <c r="G23" s="793" t="s">
        <v>179</v>
      </c>
      <c r="H23" s="756">
        <f>+BM107-H22+H7</f>
        <v>-158.58951695059829</v>
      </c>
      <c r="I23" s="798"/>
      <c r="J23" s="761"/>
      <c r="K23" s="761" t="s">
        <v>160</v>
      </c>
      <c r="L23" s="761" t="s">
        <v>161</v>
      </c>
      <c r="M23" s="924"/>
      <c r="N23" s="43"/>
      <c r="O23" s="935"/>
    </row>
    <row r="24" spans="2:109" ht="20" hidden="1" x14ac:dyDescent="0.2">
      <c r="E24" s="300"/>
      <c r="F24" s="300"/>
      <c r="G24" s="927"/>
      <c r="H24" s="43"/>
      <c r="I24" s="43"/>
      <c r="J24" s="763"/>
      <c r="K24" s="763">
        <f>((+H8-H23)/H8*BR25)</f>
        <v>344.59344962563432</v>
      </c>
      <c r="L24" s="763">
        <f>(H23/H8*BR25)</f>
        <v>-146.29344962563434</v>
      </c>
      <c r="M24" s="761" t="s">
        <v>168</v>
      </c>
      <c r="N24" s="43"/>
      <c r="O24" s="935"/>
    </row>
    <row r="25" spans="2:109" ht="32.25" customHeight="1" thickBot="1" x14ac:dyDescent="0.25">
      <c r="E25" s="300"/>
      <c r="F25" s="300"/>
      <c r="G25" s="927"/>
      <c r="H25" s="43"/>
      <c r="I25" s="43"/>
      <c r="J25" s="764"/>
      <c r="K25" s="764">
        <f>ABS($H$1/K24)</f>
        <v>52.235467678086067</v>
      </c>
      <c r="L25" s="764">
        <f>ABS($H$1/L24)</f>
        <v>123.04036883443578</v>
      </c>
      <c r="M25" s="766" t="s">
        <v>167</v>
      </c>
      <c r="N25" s="43"/>
      <c r="O25" s="935"/>
      <c r="BF25" s="58"/>
      <c r="BG25" s="58"/>
      <c r="BH25" s="58"/>
      <c r="BI25" s="58"/>
      <c r="BO25" s="69"/>
      <c r="BP25" s="48"/>
      <c r="BQ25" s="59" t="s">
        <v>23</v>
      </c>
      <c r="BR25" s="1105">
        <f>+C7</f>
        <v>198.3</v>
      </c>
      <c r="BS25" s="1105"/>
      <c r="BT25" s="60" t="s">
        <v>15</v>
      </c>
      <c r="BU25" s="60"/>
      <c r="BV25" s="61" t="s">
        <v>302</v>
      </c>
      <c r="BW25" s="62"/>
      <c r="BX25" s="62"/>
      <c r="BY25" s="62"/>
      <c r="BZ25" s="62"/>
      <c r="CA25" s="62"/>
      <c r="CB25" s="62"/>
      <c r="CC25" s="62"/>
      <c r="CD25" s="62"/>
      <c r="CE25" s="62"/>
      <c r="CF25" s="62"/>
      <c r="CG25" s="62"/>
      <c r="CH25" s="62"/>
      <c r="CI25" s="62"/>
      <c r="CJ25" s="62"/>
      <c r="CK25" s="62"/>
      <c r="CL25" s="62"/>
      <c r="CM25" s="62"/>
      <c r="CN25" s="62"/>
      <c r="CO25" s="62"/>
      <c r="CP25" s="62"/>
      <c r="CQ25" s="62"/>
      <c r="CR25" s="62"/>
      <c r="CS25" s="62"/>
      <c r="CT25" s="62"/>
      <c r="CU25" s="62"/>
      <c r="CV25" s="62"/>
      <c r="CW25" s="62"/>
      <c r="CX25" s="62"/>
      <c r="CY25" s="62"/>
      <c r="CZ25" s="62"/>
      <c r="DA25" s="62"/>
      <c r="DB25" s="62"/>
      <c r="DC25" s="62"/>
      <c r="DD25" s="62"/>
      <c r="DE25" s="62"/>
    </row>
    <row r="26" spans="2:109" ht="42" customHeight="1" thickBot="1" x14ac:dyDescent="0.3">
      <c r="E26" s="300"/>
      <c r="F26" s="300"/>
      <c r="G26" s="927"/>
      <c r="H26" s="43"/>
      <c r="I26" s="43"/>
      <c r="J26" s="1045"/>
      <c r="K26" s="1045"/>
      <c r="L26" s="1045">
        <f>ABS($E$20/BR25)</f>
        <v>40.342914775592533</v>
      </c>
      <c r="M26" s="1046" t="s">
        <v>308</v>
      </c>
      <c r="N26" s="43"/>
      <c r="O26" s="935"/>
      <c r="U26" s="97"/>
      <c r="AB26" s="97"/>
      <c r="AC26" s="97"/>
      <c r="AD26" s="97"/>
      <c r="AE26" s="97"/>
      <c r="BF26" s="68"/>
      <c r="BG26" s="68"/>
      <c r="BH26" s="68"/>
      <c r="BI26" s="68"/>
      <c r="BN26" s="65" t="b">
        <f>AND(BR27&gt;0,CP27&gt;0)</f>
        <v>1</v>
      </c>
      <c r="BO26" s="752" t="str">
        <f>IF(BN26=TRUE,"","negative force at the motor")</f>
        <v/>
      </c>
      <c r="BP26" s="866" t="s">
        <v>112</v>
      </c>
      <c r="BQ26" s="583" t="s">
        <v>25</v>
      </c>
      <c r="BR26" s="619" t="s">
        <v>26</v>
      </c>
      <c r="BS26" s="620"/>
      <c r="BT26" s="620"/>
      <c r="BU26" s="620"/>
      <c r="BV26" s="620"/>
      <c r="BW26" s="620"/>
      <c r="BX26" s="620"/>
      <c r="BY26" s="620"/>
      <c r="BZ26" s="620"/>
      <c r="CA26" s="620"/>
      <c r="CB26" s="620"/>
      <c r="CC26" s="620"/>
      <c r="CD26" s="620"/>
      <c r="CE26" s="620"/>
      <c r="CF26" s="620"/>
      <c r="CG26" s="620"/>
      <c r="CH26" s="620"/>
      <c r="CI26" s="620"/>
      <c r="CJ26" s="699"/>
      <c r="CK26" s="620"/>
      <c r="CL26" s="700"/>
      <c r="CM26" s="700"/>
      <c r="CN26" s="700"/>
      <c r="CO26" s="700"/>
      <c r="CP26" s="620"/>
      <c r="CQ26" s="625" t="s">
        <v>27</v>
      </c>
      <c r="CR26" s="1092"/>
      <c r="CS26" s="1092"/>
      <c r="CT26" s="1092"/>
      <c r="CU26" s="1092"/>
      <c r="CV26" s="1092"/>
      <c r="CW26" s="1092"/>
      <c r="CX26" s="1092"/>
      <c r="CY26" s="1092"/>
      <c r="CZ26" s="1092"/>
      <c r="DA26" s="1092"/>
      <c r="DB26" s="1093"/>
      <c r="DC26" s="62"/>
      <c r="DD26" s="62"/>
      <c r="DE26" s="62"/>
    </row>
    <row r="27" spans="2:109" ht="31" thickBot="1" x14ac:dyDescent="0.3">
      <c r="E27" s="300"/>
      <c r="F27" s="300"/>
      <c r="G27" s="927"/>
      <c r="H27" s="43"/>
      <c r="I27" s="43"/>
      <c r="J27" s="43"/>
      <c r="K27" s="43"/>
      <c r="L27" s="43"/>
      <c r="M27" s="43"/>
      <c r="N27" s="43"/>
      <c r="O27" s="935"/>
      <c r="BF27" s="68"/>
      <c r="BG27" s="68"/>
      <c r="BH27" s="68"/>
      <c r="BI27" s="68"/>
      <c r="BM27" s="767">
        <v>1</v>
      </c>
      <c r="BN27" s="1055" t="b">
        <f>AND(BP27&gt;=10,$BA$153&gt;=10,$BB$153&gt;=10,$BA$177&gt;=10,$BB$177&gt;=10)</f>
        <v>1</v>
      </c>
      <c r="BO27" s="67" t="str">
        <f>IF(BN27=TRUE,"O K","OVERLOAD")</f>
        <v>O K</v>
      </c>
      <c r="BP27" s="781">
        <f>+MIN(J7:L8)</f>
        <v>61.714471891316357</v>
      </c>
      <c r="BQ27" s="584" t="s">
        <v>134</v>
      </c>
      <c r="BR27" s="1100">
        <f>+((D4-D5)/D4)*C7</f>
        <v>68.670761430340406</v>
      </c>
      <c r="BS27" s="1101"/>
      <c r="BT27" s="626"/>
      <c r="BU27" s="626"/>
      <c r="BV27" s="626"/>
      <c r="BW27" s="627"/>
      <c r="BX27" s="627"/>
      <c r="BY27" s="627"/>
      <c r="BZ27" s="701"/>
      <c r="CA27" s="701"/>
      <c r="CB27" s="701"/>
      <c r="CC27" s="701"/>
      <c r="CD27" s="701"/>
      <c r="CE27" s="701"/>
      <c r="CF27" s="701"/>
      <c r="CG27" s="701"/>
      <c r="CH27" s="701"/>
      <c r="CI27" s="701"/>
      <c r="CJ27" s="702"/>
      <c r="CK27" s="626"/>
      <c r="CL27" s="626"/>
      <c r="CM27" s="626"/>
      <c r="CN27" s="627"/>
      <c r="CO27" s="627"/>
      <c r="CP27" s="1090">
        <f>+(D5/D4)*C7</f>
        <v>129.62923856965961</v>
      </c>
      <c r="CQ27" s="1091"/>
      <c r="CR27" s="1094"/>
      <c r="CS27" s="1094"/>
      <c r="CT27" s="1094"/>
      <c r="CU27" s="1094"/>
      <c r="CV27" s="1094"/>
      <c r="CW27" s="1094"/>
      <c r="CX27" s="1094"/>
      <c r="CY27" s="1094"/>
      <c r="CZ27" s="1094"/>
      <c r="DA27" s="1094"/>
      <c r="DB27" s="1095"/>
      <c r="DC27" s="62"/>
      <c r="DD27" s="62"/>
      <c r="DE27" s="62"/>
    </row>
    <row r="28" spans="2:109" ht="17.25" customHeight="1" thickBot="1" x14ac:dyDescent="0.3">
      <c r="E28" s="300"/>
      <c r="F28" s="300"/>
      <c r="G28" s="927"/>
      <c r="H28" s="43"/>
      <c r="I28" s="783">
        <v>60</v>
      </c>
      <c r="J28" s="1047" t="s">
        <v>186</v>
      </c>
      <c r="K28" s="1054"/>
      <c r="L28" s="1054"/>
      <c r="M28" s="1054"/>
      <c r="N28" s="43"/>
      <c r="O28" s="935"/>
      <c r="T28" s="304"/>
      <c r="BF28" s="68"/>
      <c r="BG28" s="68"/>
      <c r="BH28" s="68"/>
      <c r="BI28" s="68"/>
      <c r="BO28" s="69"/>
      <c r="BP28" s="68"/>
      <c r="BQ28" s="70"/>
      <c r="BR28" s="71"/>
      <c r="BS28" s="71"/>
      <c r="BT28" s="70"/>
      <c r="BU28" s="70"/>
      <c r="BV28" s="70"/>
      <c r="BW28" s="70"/>
      <c r="BX28" s="70"/>
      <c r="BY28" s="70"/>
      <c r="BZ28" s="70"/>
      <c r="CA28" s="70"/>
      <c r="CB28" s="70"/>
      <c r="CC28" s="70"/>
      <c r="CD28" s="70"/>
      <c r="CE28" s="70"/>
      <c r="CF28" s="70"/>
      <c r="CG28" s="70"/>
      <c r="CH28" s="70"/>
      <c r="CI28" s="70"/>
      <c r="CK28" s="60"/>
      <c r="CL28" s="60"/>
      <c r="CM28" s="71"/>
      <c r="CN28" s="72"/>
      <c r="CO28" s="72"/>
      <c r="CP28" s="72"/>
      <c r="CQ28" s="72"/>
      <c r="CR28" s="72"/>
      <c r="CS28" s="72"/>
      <c r="CT28" s="72"/>
      <c r="CU28" s="72"/>
      <c r="CV28" s="72"/>
      <c r="CW28" s="72"/>
      <c r="CX28" s="72"/>
      <c r="CY28" s="72"/>
      <c r="CZ28" s="72"/>
      <c r="DA28" s="72"/>
      <c r="DB28" s="72"/>
      <c r="DC28" s="72"/>
      <c r="DD28" s="62"/>
      <c r="DE28" s="62"/>
    </row>
    <row r="29" spans="2:109" ht="42" customHeight="1" thickBot="1" x14ac:dyDescent="0.3">
      <c r="E29" s="300"/>
      <c r="F29" s="300"/>
      <c r="G29" s="927"/>
      <c r="H29" s="43"/>
      <c r="I29" s="43"/>
      <c r="J29" s="761"/>
      <c r="K29" s="761" t="s">
        <v>160</v>
      </c>
      <c r="L29" s="761" t="s">
        <v>161</v>
      </c>
      <c r="M29" s="924"/>
      <c r="N29" s="43"/>
      <c r="O29" s="935"/>
      <c r="U29" s="97"/>
      <c r="AB29" s="97"/>
      <c r="AC29" s="97"/>
      <c r="AD29" s="97"/>
      <c r="AE29" s="97"/>
      <c r="BF29" s="68"/>
      <c r="BG29" s="68"/>
      <c r="BH29" s="68"/>
      <c r="BI29" s="68"/>
      <c r="BN29" s="65" t="b">
        <f>AND(CC30&gt;0,DA30&gt;0)</f>
        <v>1</v>
      </c>
      <c r="BO29" s="752" t="str">
        <f>IF(BN29=TRUE,"","negative force at the motor")</f>
        <v/>
      </c>
      <c r="BP29" s="866" t="s">
        <v>112</v>
      </c>
      <c r="BQ29" s="585" t="s">
        <v>25</v>
      </c>
      <c r="BR29" s="1119"/>
      <c r="BS29" s="1120"/>
      <c r="BT29" s="1120"/>
      <c r="BU29" s="1120"/>
      <c r="BV29" s="1120"/>
      <c r="BW29" s="1120"/>
      <c r="BX29" s="1120"/>
      <c r="BY29" s="1120"/>
      <c r="BZ29" s="1120"/>
      <c r="CA29" s="1120"/>
      <c r="CB29" s="1120"/>
      <c r="CC29" s="615" t="s">
        <v>26</v>
      </c>
      <c r="CD29" s="617"/>
      <c r="CE29" s="617"/>
      <c r="CF29" s="617"/>
      <c r="CG29" s="617"/>
      <c r="CH29" s="617"/>
      <c r="CI29" s="617"/>
      <c r="CJ29" s="617"/>
      <c r="CK29" s="617"/>
      <c r="CL29" s="617"/>
      <c r="CM29" s="617"/>
      <c r="CN29" s="617"/>
      <c r="CO29" s="703"/>
      <c r="CP29" s="608"/>
      <c r="CQ29" s="608"/>
      <c r="CR29" s="608"/>
      <c r="CS29" s="608"/>
      <c r="CT29" s="704"/>
      <c r="CU29" s="704"/>
      <c r="CV29" s="703"/>
      <c r="CW29" s="703"/>
      <c r="CX29" s="703"/>
      <c r="CY29" s="703"/>
      <c r="CZ29" s="703"/>
      <c r="DA29" s="608"/>
      <c r="DB29" s="609" t="s">
        <v>27</v>
      </c>
      <c r="DC29" s="73"/>
      <c r="DD29" s="62"/>
      <c r="DE29" s="62"/>
    </row>
    <row r="30" spans="2:109" ht="42" customHeight="1" thickBot="1" x14ac:dyDescent="0.3">
      <c r="E30" s="300"/>
      <c r="F30" s="300"/>
      <c r="G30" s="799"/>
      <c r="H30" s="47"/>
      <c r="I30" s="43"/>
      <c r="J30" s="763"/>
      <c r="K30" s="763">
        <f>((+H8-H23)/H8*BR25)</f>
        <v>344.59344962563432</v>
      </c>
      <c r="L30" s="763">
        <f>(H23/H8*BR25)</f>
        <v>-146.29344962563434</v>
      </c>
      <c r="M30" s="761" t="s">
        <v>168</v>
      </c>
      <c r="N30" s="43"/>
      <c r="O30" s="935"/>
      <c r="U30" s="97"/>
      <c r="AB30" s="97"/>
      <c r="AC30" s="97"/>
      <c r="AD30" s="97"/>
      <c r="AE30" s="97"/>
      <c r="BM30" s="767">
        <v>2</v>
      </c>
      <c r="BN30" s="1055" t="b">
        <f>AND(BP30&gt;=10,$BA$153&gt;=10,$BB$153&gt;=10,$BA$177&gt;=10,$BB$177&gt;=10)</f>
        <v>1</v>
      </c>
      <c r="BO30" s="67" t="str">
        <f>IF(BN30=TRUE,"O K","OVERLOAD")</f>
        <v>O K</v>
      </c>
      <c r="BP30" s="781">
        <f>+MIN(J13:L14)</f>
        <v>51.307454579516651</v>
      </c>
      <c r="BQ30" s="586" t="s">
        <v>111</v>
      </c>
      <c r="BR30" s="1121"/>
      <c r="BS30" s="1122"/>
      <c r="BT30" s="1122"/>
      <c r="BU30" s="1122"/>
      <c r="BV30" s="1122"/>
      <c r="BW30" s="1122"/>
      <c r="BX30" s="1122"/>
      <c r="BY30" s="1122"/>
      <c r="BZ30" s="1122"/>
      <c r="CA30" s="1122"/>
      <c r="CB30" s="1122"/>
      <c r="CC30" s="1123">
        <f>+((D4-D3)/D4)*C7</f>
        <v>155.92276143034039</v>
      </c>
      <c r="CD30" s="1124"/>
      <c r="CE30" s="705"/>
      <c r="CF30" s="705"/>
      <c r="CG30" s="705"/>
      <c r="CH30" s="705"/>
      <c r="CI30" s="705"/>
      <c r="CJ30" s="705"/>
      <c r="CK30" s="705"/>
      <c r="CL30" s="705"/>
      <c r="CM30" s="705"/>
      <c r="CN30" s="705"/>
      <c r="CO30" s="706"/>
      <c r="CP30" s="707"/>
      <c r="CQ30" s="707"/>
      <c r="CR30" s="707"/>
      <c r="CS30" s="707"/>
      <c r="CT30" s="708"/>
      <c r="CU30" s="708"/>
      <c r="CV30" s="698"/>
      <c r="CW30" s="698"/>
      <c r="CX30" s="698"/>
      <c r="CY30" s="698"/>
      <c r="CZ30" s="698"/>
      <c r="DA30" s="1088">
        <f>+(D3/D4)*C7</f>
        <v>42.37723856965961</v>
      </c>
      <c r="DB30" s="1089"/>
      <c r="DC30" s="75"/>
      <c r="DD30" s="62"/>
      <c r="DE30" s="62"/>
    </row>
    <row r="31" spans="2:109" ht="17.25" customHeight="1" thickBot="1" x14ac:dyDescent="0.3">
      <c r="E31" s="300"/>
      <c r="F31" s="300"/>
      <c r="G31" s="799"/>
      <c r="H31" s="47"/>
      <c r="I31" s="43"/>
      <c r="J31" s="764"/>
      <c r="K31" s="764">
        <f>ABS($H$1/K30)</f>
        <v>52.235467678086067</v>
      </c>
      <c r="L31" s="764">
        <f>ABS($H$1/L30)</f>
        <v>123.04036883443578</v>
      </c>
      <c r="M31" s="766" t="s">
        <v>167</v>
      </c>
      <c r="N31" s="43"/>
      <c r="O31" s="935"/>
      <c r="U31" s="97"/>
      <c r="AB31" s="97"/>
      <c r="AC31" s="97"/>
      <c r="AD31" s="97"/>
      <c r="AE31" s="97"/>
      <c r="BO31" s="69"/>
      <c r="BP31" s="11"/>
      <c r="BQ31" s="76"/>
      <c r="BR31" s="76"/>
      <c r="BS31" s="76"/>
      <c r="BT31" s="76"/>
      <c r="BU31" s="76"/>
      <c r="BV31" s="76"/>
      <c r="BW31" s="76"/>
      <c r="BX31" s="76"/>
      <c r="BY31" s="76"/>
      <c r="BZ31" s="77"/>
      <c r="CA31" s="77"/>
      <c r="CB31" s="72"/>
      <c r="CC31" s="72"/>
      <c r="CD31" s="72"/>
      <c r="CE31" s="72"/>
      <c r="CF31" s="72"/>
      <c r="CG31" s="72"/>
      <c r="CH31" s="72"/>
      <c r="CI31" s="72"/>
      <c r="CJ31" s="72"/>
      <c r="CK31" s="72"/>
      <c r="CL31" s="72"/>
      <c r="CM31" s="72"/>
      <c r="CN31" s="72"/>
      <c r="CO31" s="26"/>
      <c r="CP31" s="78"/>
      <c r="CQ31" s="78"/>
      <c r="CR31" s="78"/>
      <c r="CS31" s="78"/>
      <c r="CT31" s="75"/>
      <c r="CU31" s="75"/>
      <c r="CV31" s="75"/>
      <c r="CW31" s="75"/>
      <c r="CX31" s="75"/>
      <c r="CY31" s="75"/>
      <c r="CZ31" s="75"/>
      <c r="DA31" s="75"/>
      <c r="DB31" s="75"/>
      <c r="DC31" s="75"/>
      <c r="DD31" s="62"/>
      <c r="DE31" s="62"/>
    </row>
    <row r="32" spans="2:109" ht="42" customHeight="1" thickBot="1" x14ac:dyDescent="0.25">
      <c r="G32" s="799"/>
      <c r="H32" s="47"/>
      <c r="I32" s="43"/>
      <c r="J32" s="1045"/>
      <c r="K32" s="1045"/>
      <c r="L32" s="1045">
        <f>ABS($E$20/BR25)*2</f>
        <v>80.685829551185066</v>
      </c>
      <c r="M32" s="1046" t="s">
        <v>308</v>
      </c>
      <c r="N32" s="1052" t="s">
        <v>309</v>
      </c>
      <c r="O32" s="935"/>
      <c r="BN32" s="65" t="b">
        <f>AND(CC33&gt;0,CR33&gt;0)</f>
        <v>1</v>
      </c>
      <c r="BO32" s="752" t="str">
        <f>IF(BN32=TRUE,"","negative force at the motor")</f>
        <v/>
      </c>
      <c r="BP32" s="866" t="s">
        <v>112</v>
      </c>
      <c r="BQ32" s="587" t="s">
        <v>25</v>
      </c>
      <c r="BR32" s="1125"/>
      <c r="BS32" s="1126"/>
      <c r="BT32" s="1126"/>
      <c r="BU32" s="1126"/>
      <c r="BV32" s="1126"/>
      <c r="BW32" s="1126"/>
      <c r="BX32" s="1126"/>
      <c r="BY32" s="1126"/>
      <c r="BZ32" s="1126"/>
      <c r="CA32" s="1126"/>
      <c r="CB32" s="1126"/>
      <c r="CC32" s="709" t="s">
        <v>26</v>
      </c>
      <c r="CD32" s="710"/>
      <c r="CE32" s="710"/>
      <c r="CF32" s="710"/>
      <c r="CG32" s="710"/>
      <c r="CH32" s="710"/>
      <c r="CI32" s="710"/>
      <c r="CJ32" s="711"/>
      <c r="CK32" s="710"/>
      <c r="CL32" s="712"/>
      <c r="CM32" s="712"/>
      <c r="CN32" s="710"/>
      <c r="CO32" s="710"/>
      <c r="CP32" s="710"/>
      <c r="CQ32" s="710"/>
      <c r="CR32" s="710"/>
      <c r="CS32" s="713" t="s">
        <v>27</v>
      </c>
      <c r="CT32" s="1092"/>
      <c r="CU32" s="1092"/>
      <c r="CV32" s="1092"/>
      <c r="CW32" s="1092"/>
      <c r="CX32" s="1092"/>
      <c r="CY32" s="1092"/>
      <c r="CZ32" s="1092"/>
      <c r="DA32" s="1092"/>
      <c r="DB32" s="1093"/>
      <c r="DC32" s="72"/>
      <c r="DD32" s="62"/>
      <c r="DE32" s="62"/>
    </row>
    <row r="33" spans="7:142" ht="42" customHeight="1" thickBot="1" x14ac:dyDescent="0.3">
      <c r="G33" s="799"/>
      <c r="H33" s="47"/>
      <c r="I33" s="43"/>
      <c r="J33" s="43"/>
      <c r="K33" s="43"/>
      <c r="L33" s="43"/>
      <c r="M33" s="43"/>
      <c r="N33" s="43"/>
      <c r="O33" s="935"/>
      <c r="BM33" s="767">
        <v>3</v>
      </c>
      <c r="BN33" s="1055" t="b">
        <f>AND(BP33&gt;=10,$BA$153&gt;=10,$BB$153&gt;=10,$BA$177&gt;=10,$BB$177&gt;=10)</f>
        <v>1</v>
      </c>
      <c r="BO33" s="67" t="str">
        <f>IF(BN33=TRUE,"O K","OVERLOAD")</f>
        <v>O K</v>
      </c>
      <c r="BP33" s="782">
        <f>+$E$20/(MAX(CC33,CR33))</f>
        <v>60.566800134865922</v>
      </c>
      <c r="BQ33" s="588" t="s">
        <v>108</v>
      </c>
      <c r="BR33" s="1127"/>
      <c r="BS33" s="1128"/>
      <c r="BT33" s="1128"/>
      <c r="BU33" s="1128"/>
      <c r="BV33" s="1128"/>
      <c r="BW33" s="1128"/>
      <c r="BX33" s="1128"/>
      <c r="BY33" s="1128"/>
      <c r="BZ33" s="1128"/>
      <c r="CA33" s="1128"/>
      <c r="CB33" s="1128"/>
      <c r="CC33" s="1098">
        <f>+((D2-D3)/D2)*C7</f>
        <v>132.08556473490688</v>
      </c>
      <c r="CD33" s="1099"/>
      <c r="CE33" s="714"/>
      <c r="CF33" s="714"/>
      <c r="CG33" s="714"/>
      <c r="CH33" s="714"/>
      <c r="CI33" s="714"/>
      <c r="CJ33" s="715"/>
      <c r="CK33" s="714"/>
      <c r="CL33" s="716"/>
      <c r="CM33" s="716"/>
      <c r="CN33" s="717"/>
      <c r="CO33" s="717"/>
      <c r="CP33" s="717"/>
      <c r="CQ33" s="717"/>
      <c r="CR33" s="1129">
        <f>+(D3/D2)*C7</f>
        <v>66.21443526509313</v>
      </c>
      <c r="CS33" s="1130"/>
      <c r="CT33" s="1094"/>
      <c r="CU33" s="1094"/>
      <c r="CV33" s="1094"/>
      <c r="CW33" s="1094"/>
      <c r="CX33" s="1094"/>
      <c r="CY33" s="1094"/>
      <c r="CZ33" s="1094"/>
      <c r="DA33" s="1094"/>
      <c r="DB33" s="1095"/>
      <c r="DC33" s="72"/>
      <c r="DD33" s="62"/>
      <c r="DE33" s="62"/>
    </row>
    <row r="34" spans="7:142" ht="24" hidden="1" thickBot="1" x14ac:dyDescent="0.3">
      <c r="G34" s="799"/>
      <c r="H34" s="47"/>
      <c r="I34" s="783">
        <v>61</v>
      </c>
      <c r="J34" s="1047" t="s">
        <v>200</v>
      </c>
      <c r="K34" s="1054"/>
      <c r="L34" s="1054"/>
      <c r="M34" s="1054"/>
      <c r="N34" s="43"/>
      <c r="O34" s="935"/>
      <c r="BO34" s="69"/>
      <c r="BP34" s="11"/>
      <c r="BQ34" s="76"/>
      <c r="BR34" s="76"/>
      <c r="BS34" s="76"/>
      <c r="BT34" s="76"/>
      <c r="BU34" s="76"/>
      <c r="BV34" s="76"/>
      <c r="BW34" s="76"/>
      <c r="BX34" s="76"/>
      <c r="BY34" s="76"/>
      <c r="BZ34" s="77"/>
      <c r="CA34" s="77"/>
      <c r="CB34" s="72"/>
      <c r="CC34" s="72"/>
      <c r="CD34" s="72"/>
      <c r="CE34" s="72"/>
      <c r="CF34" s="72"/>
      <c r="CG34" s="72"/>
      <c r="CH34" s="72"/>
      <c r="CI34" s="72"/>
      <c r="CJ34" s="72"/>
      <c r="CK34" s="72"/>
      <c r="CL34" s="76"/>
      <c r="CM34" s="72"/>
      <c r="CN34" s="72"/>
      <c r="CO34" s="26"/>
      <c r="CP34" s="78"/>
      <c r="CQ34" s="78"/>
      <c r="CR34" s="78"/>
      <c r="CS34" s="78"/>
      <c r="CT34" s="75"/>
      <c r="CU34" s="75"/>
      <c r="CV34" s="75"/>
      <c r="CW34" s="75"/>
      <c r="CX34" s="75"/>
      <c r="CY34" s="75"/>
      <c r="CZ34" s="75"/>
      <c r="DA34" s="75"/>
      <c r="DB34" s="75"/>
      <c r="DC34" s="75"/>
      <c r="DD34" s="62"/>
      <c r="DE34" s="62"/>
    </row>
    <row r="35" spans="7:142" ht="20" hidden="1" x14ac:dyDescent="0.2">
      <c r="G35" s="799"/>
      <c r="H35" s="47"/>
      <c r="I35" s="43"/>
      <c r="J35" s="761" t="s">
        <v>162</v>
      </c>
      <c r="K35" s="761" t="s">
        <v>170</v>
      </c>
      <c r="L35" s="761"/>
      <c r="M35" s="924"/>
      <c r="N35" s="43"/>
      <c r="O35" s="935"/>
      <c r="BO35" s="69"/>
      <c r="EK35" s="62"/>
      <c r="EL35" s="62"/>
    </row>
    <row r="36" spans="7:142" ht="20" hidden="1" x14ac:dyDescent="0.2">
      <c r="G36" s="799"/>
      <c r="H36" s="47"/>
      <c r="I36" s="43"/>
      <c r="J36" s="763">
        <f>+H16/H8*BR25</f>
        <v>-14.825835322230288</v>
      </c>
      <c r="K36" s="763">
        <f>((H8-H16)/H8)*BR25</f>
        <v>213.1258353222303</v>
      </c>
      <c r="L36" s="763"/>
      <c r="M36" s="761" t="s">
        <v>168</v>
      </c>
      <c r="N36" s="43"/>
      <c r="O36" s="935"/>
      <c r="BO36" s="69"/>
      <c r="EK36" s="62"/>
      <c r="EL36" s="62"/>
    </row>
    <row r="37" spans="7:142" ht="23" hidden="1" x14ac:dyDescent="0.25">
      <c r="G37" s="799"/>
      <c r="H37" s="47"/>
      <c r="I37" s="43"/>
      <c r="J37" s="764">
        <f>ABS($H$1/J36)</f>
        <v>1214.0968524728098</v>
      </c>
      <c r="K37" s="764">
        <f>ABS($H$1/K36)</f>
        <v>84.457146984481483</v>
      </c>
      <c r="L37" s="764"/>
      <c r="M37" s="766" t="s">
        <v>167</v>
      </c>
      <c r="N37" s="43"/>
      <c r="O37" s="935"/>
      <c r="BO37" s="69"/>
      <c r="BP37" s="10"/>
      <c r="BQ37" s="160"/>
      <c r="BR37" s="161"/>
      <c r="BS37" s="161"/>
      <c r="BT37" s="161"/>
      <c r="BU37" s="161"/>
      <c r="BV37" s="161"/>
      <c r="BW37" s="161"/>
      <c r="BX37" s="161"/>
      <c r="BY37" s="161"/>
      <c r="BZ37" s="162"/>
      <c r="CA37" s="162"/>
      <c r="CB37" s="163"/>
      <c r="CC37" s="163"/>
      <c r="CD37" s="163"/>
      <c r="CE37" s="163"/>
      <c r="CF37" s="163"/>
      <c r="CG37" s="163"/>
      <c r="CH37" s="163"/>
      <c r="CI37" s="163"/>
      <c r="CJ37" s="26"/>
      <c r="CK37" s="72"/>
      <c r="CL37" s="164"/>
      <c r="CM37" s="164"/>
      <c r="CN37" s="72"/>
      <c r="CO37" s="72"/>
      <c r="CP37" s="72"/>
      <c r="CQ37" s="72"/>
      <c r="CR37" s="72"/>
      <c r="CS37" s="72"/>
      <c r="CT37" s="72"/>
      <c r="CU37" s="72"/>
      <c r="CV37" s="72"/>
      <c r="CW37" s="72"/>
      <c r="CX37" s="161"/>
      <c r="CY37" s="161"/>
      <c r="CZ37" s="161"/>
      <c r="DA37" s="161"/>
      <c r="DB37" s="161"/>
      <c r="DC37" s="161"/>
      <c r="DD37" s="161"/>
      <c r="DE37" s="161"/>
      <c r="EK37" s="62"/>
      <c r="EL37" s="62"/>
    </row>
    <row r="38" spans="7:142" ht="24" hidden="1" thickBot="1" x14ac:dyDescent="0.3">
      <c r="G38" s="799"/>
      <c r="H38" s="47"/>
      <c r="I38" s="43"/>
      <c r="J38" s="1045">
        <f>ABS($E$20/BR25)*2</f>
        <v>80.685829551185066</v>
      </c>
      <c r="K38" s="1045"/>
      <c r="L38" s="1045"/>
      <c r="M38" s="1046" t="s">
        <v>308</v>
      </c>
      <c r="N38" s="1052" t="s">
        <v>309</v>
      </c>
      <c r="O38" s="935"/>
      <c r="BO38" s="69"/>
      <c r="BP38" s="10"/>
      <c r="BQ38" s="160"/>
      <c r="BR38" s="161"/>
      <c r="BS38" s="161"/>
      <c r="BT38" s="161"/>
      <c r="BU38" s="161"/>
      <c r="BV38" s="161"/>
      <c r="BW38" s="161"/>
      <c r="BX38" s="161"/>
      <c r="BY38" s="161"/>
      <c r="BZ38" s="162"/>
      <c r="CA38" s="162"/>
      <c r="CB38" s="163"/>
      <c r="CC38" s="163"/>
      <c r="CD38" s="163"/>
      <c r="CE38" s="163"/>
      <c r="CF38" s="163"/>
      <c r="CG38" s="163"/>
      <c r="CH38" s="163"/>
      <c r="CI38" s="163"/>
      <c r="CJ38" s="26"/>
      <c r="CK38" s="72"/>
      <c r="CL38" s="164"/>
      <c r="CM38" s="164"/>
      <c r="CN38" s="72"/>
      <c r="CO38" s="72"/>
      <c r="CP38" s="72"/>
      <c r="CQ38" s="72"/>
      <c r="CR38" s="72"/>
      <c r="CS38" s="72"/>
      <c r="CT38" s="72"/>
      <c r="CU38" s="72"/>
      <c r="CV38" s="72"/>
      <c r="CW38" s="72"/>
      <c r="CX38" s="161"/>
      <c r="CY38" s="161"/>
      <c r="CZ38" s="161"/>
      <c r="DA38" s="161"/>
      <c r="DB38" s="161"/>
      <c r="DC38" s="161"/>
      <c r="DD38" s="161"/>
      <c r="DE38" s="161"/>
      <c r="EK38" s="62"/>
      <c r="EL38" s="62"/>
    </row>
    <row r="39" spans="7:142" ht="24" hidden="1" thickBot="1" x14ac:dyDescent="0.3">
      <c r="G39" s="927"/>
      <c r="H39" s="43"/>
      <c r="I39" s="43"/>
      <c r="J39" s="43"/>
      <c r="K39" s="43"/>
      <c r="L39" s="43"/>
      <c r="M39" s="43"/>
      <c r="N39" s="43"/>
      <c r="O39" s="935"/>
      <c r="BO39" s="69"/>
      <c r="BP39" s="10"/>
      <c r="BQ39" s="160"/>
      <c r="BR39" s="161"/>
      <c r="BS39" s="161"/>
      <c r="BT39" s="161"/>
      <c r="BU39" s="161"/>
      <c r="BV39" s="161"/>
      <c r="BW39" s="161"/>
      <c r="BX39" s="161"/>
      <c r="BY39" s="161"/>
      <c r="BZ39" s="162"/>
      <c r="CA39" s="162"/>
      <c r="CB39" s="165">
        <v>16</v>
      </c>
      <c r="CC39" s="163"/>
      <c r="CD39" s="163"/>
      <c r="CE39" s="163"/>
      <c r="CF39" s="163"/>
      <c r="CG39" s="163"/>
      <c r="CH39" s="163"/>
      <c r="CI39" s="163"/>
      <c r="CJ39" s="26"/>
      <c r="CK39" s="72"/>
      <c r="CL39" s="164"/>
      <c r="CM39" s="164"/>
      <c r="CN39" s="72"/>
      <c r="CO39" s="72"/>
      <c r="CP39" s="72"/>
      <c r="CQ39" s="100" t="b">
        <f>IF(CR57=27,15)</f>
        <v>0</v>
      </c>
      <c r="CR39" s="166"/>
      <c r="CS39" s="86" t="b">
        <f>IF(CR57=27,17)</f>
        <v>0</v>
      </c>
      <c r="CT39" s="72"/>
      <c r="CU39" s="72"/>
      <c r="CV39" s="72"/>
      <c r="CW39" s="72"/>
      <c r="CX39" s="161"/>
      <c r="CY39" s="161"/>
      <c r="CZ39" s="161"/>
      <c r="DA39" s="161"/>
      <c r="DB39" s="161"/>
      <c r="DC39" s="161"/>
      <c r="DD39" s="161"/>
      <c r="DE39" s="161"/>
      <c r="EK39" s="62"/>
      <c r="EL39" s="62"/>
    </row>
    <row r="40" spans="7:142" ht="24" hidden="1" thickBot="1" x14ac:dyDescent="0.3">
      <c r="G40" s="927"/>
      <c r="H40" s="43"/>
      <c r="I40" s="783">
        <v>62</v>
      </c>
      <c r="J40" s="1047" t="s">
        <v>201</v>
      </c>
      <c r="K40" s="1054"/>
      <c r="L40" s="1054"/>
      <c r="M40" s="1054"/>
      <c r="N40" s="43"/>
      <c r="O40" s="935"/>
      <c r="BO40" s="69"/>
      <c r="BP40" s="10"/>
      <c r="BQ40" s="160"/>
      <c r="BR40" s="161"/>
      <c r="BS40" s="161"/>
      <c r="BT40" s="161"/>
      <c r="BU40" s="161"/>
      <c r="BV40" s="161"/>
      <c r="BW40" s="161"/>
      <c r="BX40" s="161"/>
      <c r="BY40" s="161"/>
      <c r="BZ40" s="162"/>
      <c r="CA40" s="162"/>
      <c r="CB40" s="165">
        <v>15</v>
      </c>
      <c r="CC40" s="163"/>
      <c r="CD40" s="163"/>
      <c r="CE40" s="163"/>
      <c r="CF40" s="163"/>
      <c r="CG40" s="163"/>
      <c r="CH40" s="163"/>
      <c r="CI40" s="163"/>
      <c r="CJ40" s="26"/>
      <c r="CK40" s="72"/>
      <c r="CL40" s="164"/>
      <c r="CM40" s="164"/>
      <c r="CN40" s="72"/>
      <c r="CO40" s="100" t="b">
        <f>IF(CQ57=26,13)</f>
        <v>0</v>
      </c>
      <c r="CP40" s="166"/>
      <c r="CQ40" s="166"/>
      <c r="CR40" s="166"/>
      <c r="CS40" s="86" t="b">
        <f>IF(CQ57=26,17)</f>
        <v>0</v>
      </c>
      <c r="CT40" s="72"/>
      <c r="CU40" s="72"/>
      <c r="CV40" s="72"/>
      <c r="CW40" s="72"/>
      <c r="CX40" s="161"/>
      <c r="CY40" s="161"/>
      <c r="CZ40" s="161"/>
      <c r="DA40" s="161"/>
      <c r="DB40" s="161"/>
      <c r="DC40" s="161"/>
      <c r="DD40" s="161"/>
      <c r="DE40" s="161"/>
      <c r="EK40" s="62"/>
      <c r="EL40" s="62"/>
    </row>
    <row r="41" spans="7:142" ht="24" hidden="1" thickBot="1" x14ac:dyDescent="0.3">
      <c r="G41" s="927"/>
      <c r="H41" s="800" t="s">
        <v>195</v>
      </c>
      <c r="I41" s="43"/>
      <c r="J41" s="761" t="s">
        <v>162</v>
      </c>
      <c r="K41" s="761" t="s">
        <v>170</v>
      </c>
      <c r="L41" s="771" t="s">
        <v>187</v>
      </c>
      <c r="M41" s="924"/>
      <c r="N41" s="43"/>
      <c r="O41" s="935"/>
      <c r="BO41" s="69"/>
      <c r="BP41" s="10"/>
      <c r="BQ41" s="160"/>
      <c r="BR41" s="161"/>
      <c r="BS41" s="161"/>
      <c r="BT41" s="161"/>
      <c r="BU41" s="161"/>
      <c r="BV41" s="161"/>
      <c r="BW41" s="161"/>
      <c r="BX41" s="161"/>
      <c r="BY41" s="161"/>
      <c r="BZ41" s="162"/>
      <c r="CA41" s="162"/>
      <c r="CB41" s="165">
        <v>14</v>
      </c>
      <c r="CC41" s="163"/>
      <c r="CD41" s="163"/>
      <c r="CE41" s="163"/>
      <c r="CF41" s="163"/>
      <c r="CG41" s="163"/>
      <c r="CH41" s="163"/>
      <c r="CI41" s="163"/>
      <c r="CJ41" s="26"/>
      <c r="CK41" s="72"/>
      <c r="CL41" s="164"/>
      <c r="CM41" s="100" t="b">
        <f>IF(CP57=25,11)</f>
        <v>0</v>
      </c>
      <c r="CN41" s="166"/>
      <c r="CO41" s="167"/>
      <c r="CP41" s="167"/>
      <c r="CQ41" s="167"/>
      <c r="CR41" s="167"/>
      <c r="CS41" s="107" t="b">
        <f>IF(CP57=25,17)</f>
        <v>0</v>
      </c>
      <c r="CT41" s="72"/>
      <c r="CU41" s="72"/>
      <c r="CV41" s="72"/>
      <c r="CW41" s="72"/>
      <c r="CX41" s="161"/>
      <c r="CY41" s="161"/>
      <c r="CZ41" s="161"/>
      <c r="DA41" s="161"/>
      <c r="DB41" s="161"/>
      <c r="DC41" s="161"/>
      <c r="DD41" s="161"/>
      <c r="DE41" s="161"/>
      <c r="EK41" s="62"/>
      <c r="EL41" s="62"/>
    </row>
    <row r="42" spans="7:142" ht="24" hidden="1" thickBot="1" x14ac:dyDescent="0.3">
      <c r="G42" s="801" t="s">
        <v>190</v>
      </c>
      <c r="H42" s="802">
        <f>SUM(BR98:CB98)</f>
        <v>8</v>
      </c>
      <c r="I42" s="43"/>
      <c r="J42" s="763">
        <f>+H43/H8*BR25/2</f>
        <v>178.51833064177103</v>
      </c>
      <c r="K42" s="763">
        <f>((H8-H43)/H8)*BR25/2</f>
        <v>-79.36833064177101</v>
      </c>
      <c r="L42" s="763">
        <f>+BR25/2</f>
        <v>99.15</v>
      </c>
      <c r="M42" s="761" t="s">
        <v>168</v>
      </c>
      <c r="N42" s="43"/>
      <c r="O42" s="935"/>
      <c r="BO42" s="69"/>
      <c r="BP42" s="863"/>
      <c r="BQ42" s="160"/>
      <c r="BR42" s="161"/>
      <c r="BS42" s="161"/>
      <c r="BT42" s="161"/>
      <c r="BU42" s="161"/>
      <c r="BV42" s="161"/>
      <c r="BW42" s="161"/>
      <c r="BX42" s="161"/>
      <c r="BY42" s="161"/>
      <c r="CB42" s="165">
        <v>13</v>
      </c>
      <c r="CC42" s="161"/>
      <c r="CD42" s="160"/>
      <c r="CE42" s="160"/>
      <c r="CF42" s="160"/>
      <c r="CG42" s="160"/>
      <c r="CH42" s="160"/>
      <c r="CI42" s="160"/>
      <c r="CJ42" s="160"/>
      <c r="CK42" s="100" t="b">
        <f>IF(CO57=24,9)</f>
        <v>0</v>
      </c>
      <c r="CL42" s="168"/>
      <c r="CM42" s="169"/>
      <c r="CN42" s="105"/>
      <c r="CO42" s="169"/>
      <c r="CP42" s="105"/>
      <c r="CQ42" s="105"/>
      <c r="CR42" s="104"/>
      <c r="CS42" s="107" t="b">
        <f>IF(CO57=24,17)</f>
        <v>0</v>
      </c>
      <c r="CT42" s="62"/>
      <c r="CU42" s="62"/>
      <c r="CV42" s="62"/>
      <c r="CW42" s="62"/>
      <c r="CX42" s="62"/>
      <c r="CY42" s="62"/>
      <c r="CZ42" s="62"/>
      <c r="DA42" s="62"/>
      <c r="DB42" s="62"/>
      <c r="DC42" s="62"/>
      <c r="DD42" s="62"/>
      <c r="DE42" s="62"/>
      <c r="EK42" s="62"/>
      <c r="EL42" s="62"/>
    </row>
    <row r="43" spans="7:142" ht="21" hidden="1" thickBot="1" x14ac:dyDescent="0.25">
      <c r="G43" s="793" t="s">
        <v>188</v>
      </c>
      <c r="H43" s="756">
        <f>$H$5-((H42-1)*$E$2)</f>
        <v>387.04584375792621</v>
      </c>
      <c r="I43" s="43"/>
      <c r="J43" s="764">
        <f>ABS($H$1/J42)</f>
        <v>100.82998163432427</v>
      </c>
      <c r="K43" s="764">
        <f>ABS($H$1/K42)</f>
        <v>226.79070927222858</v>
      </c>
      <c r="L43" s="764">
        <f>ABS($H$1/L42)</f>
        <v>181.5431164901664</v>
      </c>
      <c r="M43" s="766" t="s">
        <v>167</v>
      </c>
      <c r="N43" s="43"/>
      <c r="O43" s="935"/>
      <c r="BO43" s="69"/>
      <c r="BP43" s="863"/>
      <c r="BQ43" s="160"/>
      <c r="BR43" s="160"/>
      <c r="BS43" s="161"/>
      <c r="BT43" s="160"/>
      <c r="BU43" s="160"/>
      <c r="BV43" s="160"/>
      <c r="CB43" s="165">
        <v>12</v>
      </c>
      <c r="CC43" s="161"/>
      <c r="CD43" s="160"/>
      <c r="CE43" s="160"/>
      <c r="CF43" s="160"/>
      <c r="CG43" s="160"/>
      <c r="CH43" s="160"/>
      <c r="CI43" s="100" t="b">
        <f>IF(CN57=23,7)</f>
        <v>0</v>
      </c>
      <c r="CJ43" s="168"/>
      <c r="CK43" s="168"/>
      <c r="CL43" s="101"/>
      <c r="CM43" s="168"/>
      <c r="CN43" s="168"/>
      <c r="CO43" s="168"/>
      <c r="CP43" s="101"/>
      <c r="CQ43" s="101"/>
      <c r="CR43" s="94"/>
      <c r="CS43" s="86" t="b">
        <f>IF(CN57=23,17)</f>
        <v>0</v>
      </c>
      <c r="CT43" s="62"/>
      <c r="CU43" s="62"/>
      <c r="CV43" s="62"/>
      <c r="CW43" s="62"/>
      <c r="CX43" s="62"/>
      <c r="CY43" s="62"/>
      <c r="CZ43" s="62"/>
      <c r="DA43" s="62"/>
      <c r="DB43" s="62"/>
      <c r="DC43" s="62"/>
      <c r="DD43" s="62"/>
      <c r="DE43" s="62"/>
      <c r="EK43" s="62"/>
      <c r="EL43" s="62"/>
    </row>
    <row r="44" spans="7:142" ht="21" hidden="1" thickBot="1" x14ac:dyDescent="0.25">
      <c r="G44" s="799"/>
      <c r="H44" s="47"/>
      <c r="I44" s="43"/>
      <c r="J44" s="1045"/>
      <c r="K44" s="1045"/>
      <c r="L44" s="1045">
        <f>ABS($E$20/BR25)*2</f>
        <v>80.685829551185066</v>
      </c>
      <c r="M44" s="1046" t="s">
        <v>308</v>
      </c>
      <c r="N44" s="1052" t="s">
        <v>309</v>
      </c>
      <c r="O44" s="935"/>
      <c r="BO44" s="69"/>
      <c r="BP44" s="863"/>
      <c r="BQ44" s="160"/>
      <c r="BR44" s="160"/>
      <c r="BS44" s="161"/>
      <c r="BT44" s="160"/>
      <c r="BU44" s="160"/>
      <c r="BV44" s="160"/>
      <c r="CB44" s="165">
        <v>11</v>
      </c>
      <c r="CC44" s="161"/>
      <c r="CD44" s="160"/>
      <c r="CE44" s="160"/>
      <c r="CF44" s="160"/>
      <c r="CG44" s="100" t="b">
        <f>IF(CM57=22,5)</f>
        <v>0</v>
      </c>
      <c r="CH44" s="168"/>
      <c r="CI44" s="168"/>
      <c r="CJ44" s="101"/>
      <c r="CK44" s="168"/>
      <c r="CL44" s="101"/>
      <c r="CM44" s="168"/>
      <c r="CN44" s="101"/>
      <c r="CO44" s="168"/>
      <c r="CP44" s="101"/>
      <c r="CQ44" s="101"/>
      <c r="CR44" s="94"/>
      <c r="CS44" s="86" t="b">
        <f>IF(CM57=22,17)</f>
        <v>0</v>
      </c>
      <c r="CT44" s="62"/>
      <c r="CU44" s="62"/>
      <c r="CV44" s="62"/>
      <c r="CW44" s="62"/>
      <c r="CX44" s="62"/>
      <c r="CY44" s="62"/>
      <c r="CZ44" s="62"/>
      <c r="DA44" s="62"/>
      <c r="DB44" s="62"/>
      <c r="DC44" s="62"/>
      <c r="DD44" s="62"/>
      <c r="DE44" s="62"/>
      <c r="EK44" s="62"/>
      <c r="EL44" s="62"/>
    </row>
    <row r="45" spans="7:142" ht="21" hidden="1" thickBot="1" x14ac:dyDescent="0.25">
      <c r="G45" s="927"/>
      <c r="H45" s="43"/>
      <c r="I45" s="43"/>
      <c r="J45" s="43"/>
      <c r="K45" s="43"/>
      <c r="L45" s="43"/>
      <c r="M45" s="43"/>
      <c r="N45" s="43"/>
      <c r="O45" s="935"/>
      <c r="BO45" s="69"/>
      <c r="BP45" s="863"/>
      <c r="BQ45" s="160"/>
      <c r="BR45" s="160"/>
      <c r="BS45" s="161"/>
      <c r="BT45" s="160"/>
      <c r="BU45" s="160"/>
      <c r="BV45" s="160"/>
      <c r="CB45" s="165">
        <v>10</v>
      </c>
      <c r="CC45" s="161"/>
      <c r="CD45" s="160"/>
      <c r="CE45" s="100" t="b">
        <f>IF(CL57=21,3)</f>
        <v>0</v>
      </c>
      <c r="CF45" s="168"/>
      <c r="CG45" s="168"/>
      <c r="CH45" s="101"/>
      <c r="CI45" s="101"/>
      <c r="CJ45" s="101"/>
      <c r="CK45" s="168"/>
      <c r="CL45" s="168"/>
      <c r="CM45" s="168"/>
      <c r="CN45" s="101"/>
      <c r="CO45" s="168"/>
      <c r="CP45" s="101"/>
      <c r="CQ45" s="101"/>
      <c r="CR45" s="94"/>
      <c r="CS45" s="86" t="b">
        <f>IF(CL57=21,17)</f>
        <v>0</v>
      </c>
      <c r="CT45" s="62"/>
      <c r="CU45" s="62"/>
      <c r="CV45" s="62"/>
      <c r="CW45" s="62"/>
      <c r="CX45" s="62"/>
      <c r="CY45" s="62"/>
      <c r="CZ45" s="62"/>
      <c r="DA45" s="62"/>
      <c r="DB45" s="62"/>
      <c r="DC45" s="62"/>
      <c r="DD45" s="62"/>
      <c r="DE45" s="62"/>
      <c r="EK45" s="62"/>
      <c r="EL45" s="62"/>
    </row>
    <row r="46" spans="7:142" ht="21" hidden="1" thickBot="1" x14ac:dyDescent="0.25">
      <c r="G46" s="933"/>
      <c r="H46" s="804" t="s">
        <v>195</v>
      </c>
      <c r="I46" s="783">
        <v>63</v>
      </c>
      <c r="J46" s="1047" t="s">
        <v>202</v>
      </c>
      <c r="K46" s="1054"/>
      <c r="L46" s="1054"/>
      <c r="M46" s="1054"/>
      <c r="N46" s="43"/>
      <c r="O46" s="935"/>
      <c r="BO46" s="69"/>
      <c r="BP46" s="863"/>
      <c r="BQ46" s="160"/>
      <c r="BR46" s="160"/>
      <c r="BS46" s="161"/>
      <c r="BT46" s="160"/>
      <c r="BU46" s="160"/>
      <c r="BV46" s="160"/>
      <c r="CB46" s="165">
        <v>9</v>
      </c>
      <c r="CC46" s="100" t="b">
        <f>IF(CK57=20,1)</f>
        <v>0</v>
      </c>
      <c r="CD46" s="168"/>
      <c r="CE46" s="168"/>
      <c r="CF46" s="101"/>
      <c r="CG46" s="168"/>
      <c r="CH46" s="168"/>
      <c r="CI46" s="168"/>
      <c r="CJ46" s="168"/>
      <c r="CK46" s="168"/>
      <c r="CL46" s="168"/>
      <c r="CM46" s="168"/>
      <c r="CN46" s="168"/>
      <c r="CO46" s="168"/>
      <c r="CP46" s="101"/>
      <c r="CQ46" s="101"/>
      <c r="CR46" s="94"/>
      <c r="CS46" s="86" t="b">
        <f>IF(CK57=20,17)</f>
        <v>0</v>
      </c>
      <c r="CT46" s="62"/>
      <c r="CU46" s="62"/>
      <c r="CV46" s="62"/>
      <c r="CW46" s="62"/>
      <c r="CX46" s="62"/>
      <c r="CY46" s="62"/>
      <c r="CZ46" s="62"/>
      <c r="DA46" s="62"/>
      <c r="DB46" s="62"/>
      <c r="DC46" s="62"/>
      <c r="DD46" s="62"/>
      <c r="DE46" s="62"/>
      <c r="EK46" s="62"/>
      <c r="EL46" s="62"/>
    </row>
    <row r="47" spans="7:142" ht="24" hidden="1" thickBot="1" x14ac:dyDescent="0.3">
      <c r="G47" s="801" t="s">
        <v>190</v>
      </c>
      <c r="H47" s="805">
        <f>SUM(CR98:DB98)</f>
        <v>0</v>
      </c>
      <c r="I47" s="43"/>
      <c r="J47" s="771" t="s">
        <v>189</v>
      </c>
      <c r="K47" s="761" t="s">
        <v>160</v>
      </c>
      <c r="L47" s="761" t="s">
        <v>161</v>
      </c>
      <c r="M47" s="924"/>
      <c r="N47" s="43"/>
      <c r="O47" s="935"/>
      <c r="BO47" s="69"/>
      <c r="BP47" s="863"/>
      <c r="BQ47" s="160"/>
      <c r="BR47" s="160"/>
      <c r="BS47" s="161"/>
      <c r="BT47" s="160"/>
      <c r="BU47" s="160"/>
      <c r="BV47" s="160"/>
      <c r="CB47" s="165">
        <v>8</v>
      </c>
      <c r="CC47" s="103" t="b">
        <f>IF(CJ57=19,1)</f>
        <v>0</v>
      </c>
      <c r="CD47" s="105"/>
      <c r="CE47" s="169"/>
      <c r="CF47" s="169"/>
      <c r="CG47" s="169"/>
      <c r="CH47" s="169"/>
      <c r="CI47" s="169"/>
      <c r="CJ47" s="169"/>
      <c r="CK47" s="169"/>
      <c r="CL47" s="169"/>
      <c r="CM47" s="169"/>
      <c r="CN47" s="169"/>
      <c r="CO47" s="169"/>
      <c r="CP47" s="105"/>
      <c r="CQ47" s="107" t="b">
        <f>IF(CJ57=19,15)</f>
        <v>0</v>
      </c>
      <c r="CR47" s="62"/>
      <c r="CS47" s="62"/>
      <c r="CT47" s="62"/>
      <c r="CU47" s="62"/>
      <c r="CV47" s="62"/>
      <c r="CW47" s="62"/>
      <c r="CX47" s="62"/>
      <c r="CY47" s="62"/>
      <c r="CZ47" s="62"/>
      <c r="DA47" s="62"/>
      <c r="DB47" s="62"/>
      <c r="DC47" s="62"/>
      <c r="DD47" s="62"/>
      <c r="DE47" s="62"/>
      <c r="EK47" s="62"/>
      <c r="EL47" s="62"/>
    </row>
    <row r="48" spans="7:142" ht="21" hidden="1" thickBot="1" x14ac:dyDescent="0.25">
      <c r="G48" s="793" t="s">
        <v>188</v>
      </c>
      <c r="H48" s="756">
        <f>($E$2*(H47-1))-$H$4</f>
        <v>-902.99345089172482</v>
      </c>
      <c r="I48" s="43"/>
      <c r="J48" s="763">
        <f>+BR25/2</f>
        <v>99.15</v>
      </c>
      <c r="K48" s="763">
        <f>((H8-H48)/H8)*BR25/2</f>
        <v>515.6404133022138</v>
      </c>
      <c r="L48" s="763">
        <f>+H48/H8*BR25/2</f>
        <v>-416.49041330221377</v>
      </c>
      <c r="M48" s="761" t="s">
        <v>168</v>
      </c>
      <c r="N48" s="43"/>
      <c r="O48" s="935"/>
      <c r="BO48" s="69"/>
      <c r="BP48" s="863"/>
      <c r="BQ48" s="160"/>
      <c r="BR48" s="160"/>
      <c r="BS48" s="161"/>
      <c r="BT48" s="160"/>
      <c r="BU48" s="160"/>
      <c r="BV48" s="160"/>
      <c r="CB48" s="165">
        <v>7</v>
      </c>
      <c r="CC48" s="103" t="b">
        <f>IF(CI57=18,1)</f>
        <v>0</v>
      </c>
      <c r="CD48" s="169"/>
      <c r="CE48" s="169"/>
      <c r="CF48" s="169"/>
      <c r="CG48" s="169"/>
      <c r="CH48" s="169"/>
      <c r="CI48" s="169"/>
      <c r="CJ48" s="169"/>
      <c r="CK48" s="169"/>
      <c r="CL48" s="169"/>
      <c r="CM48" s="169"/>
      <c r="CN48" s="169"/>
      <c r="CO48" s="107" t="b">
        <f>IF(CI57=18,13)</f>
        <v>0</v>
      </c>
      <c r="CP48" s="161"/>
      <c r="CR48" s="62"/>
      <c r="CS48" s="62"/>
      <c r="CT48" s="62"/>
      <c r="CU48" s="62"/>
      <c r="CV48" s="62"/>
      <c r="CW48" s="62"/>
      <c r="CX48" s="62"/>
      <c r="CY48" s="62"/>
      <c r="CZ48" s="62"/>
      <c r="DA48" s="62"/>
      <c r="DB48" s="62"/>
      <c r="DC48" s="62"/>
      <c r="DD48" s="62"/>
      <c r="DE48" s="62"/>
      <c r="EK48" s="62"/>
      <c r="EL48" s="62"/>
    </row>
    <row r="49" spans="7:142" ht="21" hidden="1" thickBot="1" x14ac:dyDescent="0.25">
      <c r="G49" s="927"/>
      <c r="H49" s="43"/>
      <c r="I49" s="43"/>
      <c r="J49" s="764">
        <f>ABS($H$1/J48)</f>
        <v>181.5431164901664</v>
      </c>
      <c r="K49" s="764">
        <f>ABS($H$1/K48)</f>
        <v>34.908047421508648</v>
      </c>
      <c r="L49" s="764">
        <f>ABS($H$1/L48)</f>
        <v>43.218281682125635</v>
      </c>
      <c r="M49" s="766" t="s">
        <v>167</v>
      </c>
      <c r="O49" s="948"/>
      <c r="BO49" s="69"/>
      <c r="BP49" s="863"/>
      <c r="BQ49" s="160"/>
      <c r="BR49" s="160"/>
      <c r="BS49" s="161"/>
      <c r="BT49" s="160"/>
      <c r="BU49" s="160"/>
      <c r="BV49" s="160"/>
      <c r="CB49" s="165">
        <v>6</v>
      </c>
      <c r="CC49" s="103">
        <f>IF(CH57=17,1)</f>
        <v>1</v>
      </c>
      <c r="CD49" s="169"/>
      <c r="CE49" s="169"/>
      <c r="CF49" s="169"/>
      <c r="CG49" s="169"/>
      <c r="CH49" s="169"/>
      <c r="CI49" s="169"/>
      <c r="CJ49" s="169"/>
      <c r="CK49" s="169"/>
      <c r="CL49" s="169"/>
      <c r="CM49" s="107">
        <f>IF(CH57=17,11)</f>
        <v>11</v>
      </c>
      <c r="CN49" s="160"/>
      <c r="CO49" s="160"/>
      <c r="CP49" s="161"/>
      <c r="CR49" s="62"/>
      <c r="CS49" s="62"/>
      <c r="CT49" s="62"/>
      <c r="CU49" s="62"/>
      <c r="CV49" s="62"/>
      <c r="CW49" s="62"/>
      <c r="CX49" s="62"/>
      <c r="CY49" s="62"/>
      <c r="CZ49" s="62"/>
      <c r="DA49" s="62"/>
      <c r="DB49" s="62"/>
      <c r="DC49" s="62"/>
      <c r="DD49" s="62"/>
      <c r="DE49" s="62"/>
      <c r="EK49" s="62"/>
      <c r="EL49" s="62"/>
    </row>
    <row r="50" spans="7:142" ht="21" hidden="1" thickBot="1" x14ac:dyDescent="0.25">
      <c r="G50" s="927"/>
      <c r="H50" s="43"/>
      <c r="I50" s="43"/>
      <c r="J50" s="1045">
        <f>ABS($E$20/BR25)*2</f>
        <v>80.685829551185066</v>
      </c>
      <c r="K50" s="1045"/>
      <c r="L50" s="1045"/>
      <c r="M50" s="1046" t="s">
        <v>308</v>
      </c>
      <c r="N50" s="1052" t="s">
        <v>309</v>
      </c>
      <c r="O50" s="935"/>
      <c r="BO50" s="69"/>
      <c r="BP50" s="863"/>
      <c r="BQ50" s="160"/>
      <c r="BR50" s="160"/>
      <c r="BS50" s="161"/>
      <c r="BT50" s="160"/>
      <c r="BU50" s="160"/>
      <c r="BV50" s="160"/>
      <c r="CB50" s="165">
        <v>5</v>
      </c>
      <c r="CC50" s="100" t="b">
        <f>IF(CG57=16,1)</f>
        <v>0</v>
      </c>
      <c r="CD50" s="168"/>
      <c r="CE50" s="168"/>
      <c r="CF50" s="101"/>
      <c r="CG50" s="168"/>
      <c r="CH50" s="101"/>
      <c r="CI50" s="168"/>
      <c r="CJ50" s="168"/>
      <c r="CK50" s="86" t="b">
        <f>IF(CG57=16,9)</f>
        <v>0</v>
      </c>
      <c r="CL50" s="160"/>
      <c r="CM50" s="160"/>
      <c r="CN50" s="160"/>
      <c r="CO50" s="160"/>
      <c r="CP50" s="161"/>
      <c r="CR50" s="62"/>
      <c r="CS50" s="62"/>
      <c r="CT50" s="62"/>
      <c r="CU50" s="62"/>
      <c r="CV50" s="62"/>
      <c r="CW50" s="62"/>
      <c r="CX50" s="62"/>
      <c r="CY50" s="62"/>
      <c r="CZ50" s="62"/>
      <c r="DA50" s="62"/>
      <c r="DB50" s="62"/>
      <c r="DC50" s="62"/>
      <c r="DD50" s="62"/>
      <c r="DE50" s="62"/>
      <c r="EK50" s="62"/>
      <c r="EL50" s="62"/>
    </row>
    <row r="51" spans="7:142" ht="21" hidden="1" thickBot="1" x14ac:dyDescent="0.25">
      <c r="G51" s="927"/>
      <c r="H51" s="43"/>
      <c r="I51" s="43"/>
      <c r="J51" s="43"/>
      <c r="K51" s="43"/>
      <c r="L51" s="43"/>
      <c r="M51" s="43"/>
      <c r="N51" s="43"/>
      <c r="O51" s="935"/>
      <c r="BO51" s="69"/>
      <c r="BP51" s="863"/>
      <c r="BQ51" s="160"/>
      <c r="BR51" s="160"/>
      <c r="BS51" s="161"/>
      <c r="BT51" s="160"/>
      <c r="BU51" s="160"/>
      <c r="BV51" s="160"/>
      <c r="CB51" s="165">
        <v>4</v>
      </c>
      <c r="CC51" s="100" t="b">
        <f>IF(CF57=15,1)</f>
        <v>0</v>
      </c>
      <c r="CD51" s="101"/>
      <c r="CE51" s="101"/>
      <c r="CF51" s="168"/>
      <c r="CG51" s="101"/>
      <c r="CH51" s="101"/>
      <c r="CI51" s="86" t="b">
        <f>IF(CF57=15,7)</f>
        <v>0</v>
      </c>
      <c r="CJ51" s="160"/>
      <c r="CK51" s="160"/>
      <c r="CL51" s="160"/>
      <c r="CM51" s="160"/>
      <c r="CN51" s="160"/>
      <c r="CO51" s="160"/>
      <c r="CP51" s="161"/>
      <c r="CR51" s="62"/>
      <c r="CS51" s="62"/>
      <c r="CT51" s="62"/>
      <c r="CU51" s="62"/>
      <c r="CV51" s="62"/>
      <c r="CW51" s="62"/>
      <c r="CX51" s="62"/>
      <c r="CY51" s="62"/>
      <c r="CZ51" s="62"/>
      <c r="DA51" s="62"/>
      <c r="DB51" s="62"/>
      <c r="DC51" s="62"/>
      <c r="DD51" s="62"/>
      <c r="DE51" s="62"/>
      <c r="EK51" s="62"/>
      <c r="EL51" s="62"/>
    </row>
    <row r="52" spans="7:142" ht="21" hidden="1" thickBot="1" x14ac:dyDescent="0.25">
      <c r="G52" s="927"/>
      <c r="H52" s="43"/>
      <c r="I52" s="783">
        <v>64</v>
      </c>
      <c r="J52" s="1047" t="s">
        <v>203</v>
      </c>
      <c r="K52" s="1054"/>
      <c r="L52" s="1054"/>
      <c r="M52" s="1054"/>
      <c r="N52" s="43"/>
      <c r="O52" s="935"/>
      <c r="BO52" s="69"/>
      <c r="BP52" s="863"/>
      <c r="BQ52" s="160"/>
      <c r="BR52" s="160"/>
      <c r="BS52" s="161"/>
      <c r="BT52" s="160"/>
      <c r="BU52" s="160"/>
      <c r="BV52" s="160"/>
      <c r="CB52" s="165">
        <v>3</v>
      </c>
      <c r="CC52" s="103" t="b">
        <f>IF(CE57=14,1)</f>
        <v>0</v>
      </c>
      <c r="CD52" s="169"/>
      <c r="CE52" s="169"/>
      <c r="CF52" s="169"/>
      <c r="CG52" s="107" t="b">
        <f>IF(CE57=14,5)</f>
        <v>0</v>
      </c>
      <c r="CH52" s="160"/>
      <c r="CI52" s="160"/>
      <c r="CJ52" s="160"/>
      <c r="CK52" s="160"/>
      <c r="CL52" s="160"/>
      <c r="CM52" s="160"/>
      <c r="CN52" s="160"/>
      <c r="CO52" s="160"/>
      <c r="CP52" s="161"/>
      <c r="CR52" s="62"/>
      <c r="CS52" s="62"/>
      <c r="CT52" s="62"/>
      <c r="CU52" s="62"/>
      <c r="CV52" s="62"/>
      <c r="CW52" s="62"/>
      <c r="CX52" s="62"/>
      <c r="CY52" s="62"/>
      <c r="CZ52" s="62"/>
      <c r="DA52" s="62"/>
      <c r="DB52" s="62"/>
      <c r="DC52" s="62"/>
      <c r="DD52" s="62"/>
      <c r="DE52" s="62"/>
      <c r="EK52" s="62"/>
      <c r="EL52" s="62"/>
    </row>
    <row r="53" spans="7:142" ht="24" hidden="1" thickBot="1" x14ac:dyDescent="0.3">
      <c r="G53" s="801" t="s">
        <v>190</v>
      </c>
      <c r="H53" s="806" t="s">
        <v>197</v>
      </c>
      <c r="I53" s="43"/>
      <c r="J53" s="771" t="s">
        <v>189</v>
      </c>
      <c r="K53" s="761"/>
      <c r="L53" s="771" t="s">
        <v>187</v>
      </c>
      <c r="M53" s="924"/>
      <c r="N53" s="43"/>
      <c r="O53" s="935"/>
      <c r="BO53" s="69"/>
      <c r="BP53" s="863"/>
      <c r="BQ53" s="160"/>
      <c r="BR53" s="160"/>
      <c r="BS53" s="161"/>
      <c r="BT53" s="160"/>
      <c r="BU53" s="160"/>
      <c r="BV53" s="160"/>
      <c r="CB53" s="165">
        <v>2</v>
      </c>
      <c r="CC53" s="103" t="b">
        <f>IF(CD57=13,1)</f>
        <v>0</v>
      </c>
      <c r="CD53" s="169"/>
      <c r="CE53" s="107" t="b">
        <f>IF(CD57=13,3)</f>
        <v>0</v>
      </c>
      <c r="CF53" s="160"/>
      <c r="CG53" s="160"/>
      <c r="CH53" s="160"/>
      <c r="CI53" s="160"/>
      <c r="CJ53" s="160"/>
      <c r="CK53" s="160"/>
      <c r="CL53" s="160"/>
      <c r="CM53" s="160"/>
      <c r="CN53" s="160"/>
      <c r="CO53" s="160"/>
      <c r="CP53" s="161"/>
      <c r="CR53" s="62"/>
      <c r="CS53" s="62"/>
      <c r="CT53" s="62"/>
      <c r="CU53" s="62"/>
      <c r="CV53" s="62"/>
      <c r="CW53" s="62"/>
      <c r="CX53" s="62"/>
      <c r="CY53" s="62"/>
      <c r="CZ53" s="62"/>
      <c r="DA53" s="62"/>
      <c r="DB53" s="62"/>
      <c r="DC53" s="62"/>
      <c r="DD53" s="62"/>
      <c r="DE53" s="62"/>
      <c r="EK53" s="62"/>
      <c r="EL53" s="62"/>
    </row>
    <row r="54" spans="7:142" ht="17.25" customHeight="1" thickBot="1" x14ac:dyDescent="0.25">
      <c r="G54" s="793" t="s">
        <v>188</v>
      </c>
      <c r="H54" s="756"/>
      <c r="I54" s="43"/>
      <c r="J54" s="763">
        <f>+((H6-D3)/H6)*BR25</f>
        <v>122.63788515898807</v>
      </c>
      <c r="K54" s="763"/>
      <c r="L54" s="763">
        <f>+(D3/H6)*BR25</f>
        <v>75.662114841011942</v>
      </c>
      <c r="M54" s="761" t="s">
        <v>168</v>
      </c>
      <c r="N54" s="43"/>
      <c r="O54" s="935"/>
      <c r="BO54" s="69"/>
      <c r="BP54" s="863"/>
      <c r="BQ54" s="160"/>
      <c r="BR54" s="160"/>
      <c r="BS54" s="161"/>
      <c r="BT54" s="160"/>
      <c r="BU54" s="160"/>
      <c r="BV54" s="160"/>
      <c r="BW54" s="60"/>
      <c r="BX54" s="160"/>
      <c r="CB54" s="160"/>
      <c r="CC54" s="160"/>
      <c r="CD54" s="160"/>
      <c r="CE54" s="160"/>
      <c r="CF54" s="160"/>
      <c r="CG54" s="160"/>
      <c r="CH54" s="160"/>
      <c r="CI54" s="160"/>
      <c r="CJ54" s="160"/>
      <c r="CK54" s="160"/>
      <c r="CL54" s="160"/>
      <c r="CM54" s="161"/>
      <c r="CN54" s="90"/>
      <c r="CO54" s="90"/>
      <c r="CP54" s="90"/>
      <c r="CR54" s="62"/>
      <c r="CS54" s="62"/>
      <c r="CT54" s="62"/>
      <c r="CU54" s="62"/>
      <c r="CV54" s="62"/>
      <c r="CW54" s="62"/>
      <c r="CX54" s="62"/>
      <c r="CY54" s="62"/>
      <c r="CZ54" s="62"/>
      <c r="DA54" s="62"/>
      <c r="DB54" s="62"/>
      <c r="DC54" s="62"/>
      <c r="DD54" s="62"/>
      <c r="DE54" s="62"/>
      <c r="EK54" s="62"/>
      <c r="EL54" s="62"/>
    </row>
    <row r="55" spans="7:142" ht="42" customHeight="1" thickBot="1" x14ac:dyDescent="0.3">
      <c r="G55" s="799"/>
      <c r="H55" s="47"/>
      <c r="I55" s="43"/>
      <c r="J55" s="764">
        <f>ABS($H$1/J54)</f>
        <v>146.77356818950975</v>
      </c>
      <c r="K55" s="764"/>
      <c r="L55" s="764">
        <f>ABS($H$1/L54)</f>
        <v>237.89977372193763</v>
      </c>
      <c r="M55" s="766" t="s">
        <v>167</v>
      </c>
      <c r="N55" s="43"/>
      <c r="O55" s="935"/>
      <c r="BN55" s="305"/>
      <c r="BO55" s="171"/>
      <c r="BP55" s="866" t="s">
        <v>112</v>
      </c>
      <c r="BQ55" s="172" t="s">
        <v>110</v>
      </c>
      <c r="BR55" s="173"/>
      <c r="BS55" s="174"/>
      <c r="BT55" s="174"/>
      <c r="BU55" s="174"/>
      <c r="BV55" s="174"/>
      <c r="BW55" s="174"/>
      <c r="BX55" s="174"/>
      <c r="BY55" s="174"/>
      <c r="BZ55" s="174"/>
      <c r="CA55" s="174"/>
      <c r="CB55" s="174"/>
      <c r="CC55" s="601">
        <f>SUM(CC39:CC54)</f>
        <v>1</v>
      </c>
      <c r="CD55" s="602">
        <f t="shared" ref="CD55:CS55" si="0">SUM(CD39:CD54)</f>
        <v>0</v>
      </c>
      <c r="CE55" s="602">
        <f t="shared" si="0"/>
        <v>0</v>
      </c>
      <c r="CF55" s="602">
        <f t="shared" si="0"/>
        <v>0</v>
      </c>
      <c r="CG55" s="602">
        <f t="shared" si="0"/>
        <v>0</v>
      </c>
      <c r="CH55" s="602">
        <f t="shared" si="0"/>
        <v>0</v>
      </c>
      <c r="CI55" s="602">
        <f t="shared" si="0"/>
        <v>0</v>
      </c>
      <c r="CJ55" s="602">
        <f t="shared" si="0"/>
        <v>0</v>
      </c>
      <c r="CK55" s="602">
        <f t="shared" si="0"/>
        <v>0</v>
      </c>
      <c r="CL55" s="602">
        <f t="shared" si="0"/>
        <v>0</v>
      </c>
      <c r="CM55" s="602">
        <f t="shared" si="0"/>
        <v>11</v>
      </c>
      <c r="CN55" s="602">
        <f t="shared" si="0"/>
        <v>0</v>
      </c>
      <c r="CO55" s="602">
        <f t="shared" si="0"/>
        <v>0</v>
      </c>
      <c r="CP55" s="602">
        <f t="shared" si="0"/>
        <v>0</v>
      </c>
      <c r="CQ55" s="602">
        <f t="shared" si="0"/>
        <v>0</v>
      </c>
      <c r="CR55" s="602">
        <f t="shared" si="0"/>
        <v>0</v>
      </c>
      <c r="CS55" s="603">
        <f t="shared" si="0"/>
        <v>0</v>
      </c>
      <c r="CT55" s="174"/>
      <c r="CU55" s="174"/>
      <c r="CV55" s="175"/>
      <c r="CW55" s="175"/>
      <c r="CX55" s="175"/>
      <c r="CY55" s="175"/>
      <c r="CZ55" s="175"/>
      <c r="DA55" s="175"/>
      <c r="DB55" s="176"/>
      <c r="DC55" s="72"/>
      <c r="DD55" s="62"/>
      <c r="DE55" s="62"/>
    </row>
    <row r="56" spans="7:142" ht="42" customHeight="1" thickBot="1" x14ac:dyDescent="0.3">
      <c r="G56" s="799"/>
      <c r="H56" s="47"/>
      <c r="J56" s="1045">
        <f>ABS($E$20/BR25)*2</f>
        <v>80.685829551185066</v>
      </c>
      <c r="K56" s="1045"/>
      <c r="L56" s="1045"/>
      <c r="M56" s="1046" t="s">
        <v>308</v>
      </c>
      <c r="N56" s="1052" t="s">
        <v>309</v>
      </c>
      <c r="O56" s="935"/>
      <c r="BM56" s="767">
        <v>4</v>
      </c>
      <c r="BN56" s="1055" t="b">
        <f>AND(BP56&gt;=10,$BA$153&gt;=10,$BB$153&gt;=10,$BA$177&gt;=10,$BB$177&gt;=10)</f>
        <v>1</v>
      </c>
      <c r="BO56" s="67" t="str">
        <f>IF(BN56=TRUE,"O K","OVERLOAD")</f>
        <v>O K</v>
      </c>
      <c r="BP56" s="781">
        <f>+$E$20/(BR25/2)</f>
        <v>80.685829551185066</v>
      </c>
      <c r="BQ56" s="177"/>
      <c r="BR56" s="90"/>
      <c r="BS56" s="91"/>
      <c r="BT56" s="90"/>
      <c r="BU56" s="90"/>
      <c r="BV56" s="90"/>
      <c r="BW56" s="91"/>
      <c r="BX56" s="90"/>
      <c r="BY56" s="90"/>
      <c r="BZ56" s="90"/>
      <c r="CA56" s="90"/>
      <c r="CB56" s="90"/>
      <c r="CC56" s="90"/>
      <c r="CD56" s="90"/>
      <c r="CE56" s="90"/>
      <c r="CF56" s="90"/>
      <c r="CG56" s="90"/>
      <c r="CH56" s="90"/>
      <c r="CI56" s="90"/>
      <c r="CJ56" s="90"/>
      <c r="CK56" s="90"/>
      <c r="CL56" s="90"/>
      <c r="CM56" s="90"/>
      <c r="CN56" s="90"/>
      <c r="CO56" s="90"/>
      <c r="CP56" s="90"/>
      <c r="CQ56" s="90"/>
      <c r="CR56" s="90"/>
      <c r="CS56" s="90"/>
      <c r="CT56" s="62"/>
      <c r="CU56" s="62"/>
      <c r="CV56" s="62"/>
      <c r="CW56" s="62"/>
      <c r="CX56" s="62"/>
      <c r="CY56" s="62"/>
      <c r="CZ56" s="62"/>
      <c r="DA56" s="62"/>
      <c r="DB56" s="62"/>
      <c r="DC56" s="62"/>
      <c r="DD56" s="62"/>
      <c r="DE56" s="62"/>
    </row>
    <row r="57" spans="7:142" ht="20" hidden="1" x14ac:dyDescent="0.2">
      <c r="G57" s="927"/>
      <c r="H57" s="43"/>
      <c r="I57" s="43"/>
      <c r="J57" s="43"/>
      <c r="K57" s="43"/>
      <c r="L57" s="43"/>
      <c r="M57" s="43"/>
      <c r="N57" s="43"/>
      <c r="O57" s="935"/>
      <c r="BN57" s="305"/>
      <c r="BO57" s="171"/>
      <c r="BP57" s="863"/>
      <c r="BQ57" s="60"/>
      <c r="BR57" s="178" t="b">
        <f>+BL183</f>
        <v>0</v>
      </c>
      <c r="BS57" s="178" t="b">
        <f>+BL184</f>
        <v>0</v>
      </c>
      <c r="BT57" s="178" t="b">
        <f>+BL185</f>
        <v>0</v>
      </c>
      <c r="BU57" s="178" t="b">
        <f>+BL186</f>
        <v>0</v>
      </c>
      <c r="BV57" s="178" t="b">
        <f>+BL187</f>
        <v>0</v>
      </c>
      <c r="BW57" s="178" t="b">
        <f>+BL188</f>
        <v>0</v>
      </c>
      <c r="BX57" s="178" t="b">
        <f>+BL189</f>
        <v>0</v>
      </c>
      <c r="BY57" s="178" t="b">
        <f>+BL190</f>
        <v>0</v>
      </c>
      <c r="BZ57" s="178" t="b">
        <f>+BL191</f>
        <v>0</v>
      </c>
      <c r="CA57" s="178" t="b">
        <f>+BL192</f>
        <v>0</v>
      </c>
      <c r="CB57" s="178" t="b">
        <f>+BL193</f>
        <v>0</v>
      </c>
      <c r="CC57" s="178" t="b">
        <f>+BL194</f>
        <v>0</v>
      </c>
      <c r="CD57" s="178" t="b">
        <f>+BL195</f>
        <v>0</v>
      </c>
      <c r="CE57" s="178" t="b">
        <f>+BL196</f>
        <v>0</v>
      </c>
      <c r="CF57" s="178" t="b">
        <f>+BL197</f>
        <v>0</v>
      </c>
      <c r="CG57" s="178" t="b">
        <f>+BL198</f>
        <v>0</v>
      </c>
      <c r="CH57" s="178">
        <f>+BL199</f>
        <v>17</v>
      </c>
      <c r="CI57" s="178" t="b">
        <f>+BL200</f>
        <v>0</v>
      </c>
      <c r="CJ57" s="178" t="b">
        <f>+BL201</f>
        <v>0</v>
      </c>
      <c r="CK57" s="178" t="b">
        <f>+BL202</f>
        <v>0</v>
      </c>
      <c r="CL57" s="178" t="b">
        <f>+BL203</f>
        <v>0</v>
      </c>
      <c r="CM57" s="178" t="b">
        <f>+BL204</f>
        <v>0</v>
      </c>
      <c r="CN57" s="178" t="b">
        <f>+BL205</f>
        <v>0</v>
      </c>
      <c r="CO57" s="178" t="b">
        <f>+BL206</f>
        <v>0</v>
      </c>
      <c r="CP57" s="178" t="b">
        <f>+BL207</f>
        <v>0</v>
      </c>
      <c r="CQ57" s="178" t="b">
        <f>+BL208</f>
        <v>0</v>
      </c>
      <c r="CR57" s="178" t="b">
        <f>+BL209</f>
        <v>0</v>
      </c>
      <c r="CS57" s="178" t="b">
        <f>+BL210</f>
        <v>0</v>
      </c>
      <c r="CT57" s="178" t="b">
        <f>+BL211</f>
        <v>0</v>
      </c>
      <c r="CU57" s="178" t="b">
        <f>+BL212</f>
        <v>0</v>
      </c>
      <c r="CV57" s="178" t="b">
        <f>+BL213</f>
        <v>0</v>
      </c>
      <c r="CW57" s="178" t="b">
        <f>+BL214</f>
        <v>0</v>
      </c>
      <c r="CX57" s="178" t="b">
        <f>+BL215</f>
        <v>0</v>
      </c>
      <c r="CY57" s="178" t="b">
        <f>+BL216</f>
        <v>0</v>
      </c>
      <c r="CZ57" s="178" t="b">
        <f>+BL217</f>
        <v>0</v>
      </c>
      <c r="DA57" s="178" t="b">
        <f>+BL218</f>
        <v>0</v>
      </c>
      <c r="DB57" s="178" t="b">
        <f>+BL219</f>
        <v>0</v>
      </c>
      <c r="DC57" s="179"/>
      <c r="DD57" s="62"/>
      <c r="DE57" s="62"/>
    </row>
    <row r="58" spans="7:142" ht="20" hidden="1" x14ac:dyDescent="0.2">
      <c r="G58" s="927"/>
      <c r="H58" s="43"/>
      <c r="I58" s="43"/>
      <c r="J58" s="43"/>
      <c r="K58" s="43"/>
      <c r="L58" s="43"/>
      <c r="M58" s="43"/>
      <c r="N58" s="43"/>
      <c r="O58" s="935"/>
      <c r="BN58" s="305"/>
      <c r="BO58" s="171"/>
      <c r="BP58" s="863"/>
      <c r="BQ58" s="62"/>
      <c r="BR58" s="179" t="b">
        <f>+BR57</f>
        <v>0</v>
      </c>
      <c r="BS58" s="179" t="b">
        <f t="shared" ref="BS58:CJ58" si="1">+BS57</f>
        <v>0</v>
      </c>
      <c r="BT58" s="179" t="b">
        <f t="shared" si="1"/>
        <v>0</v>
      </c>
      <c r="BU58" s="179" t="b">
        <f t="shared" si="1"/>
        <v>0</v>
      </c>
      <c r="BV58" s="179" t="b">
        <f t="shared" si="1"/>
        <v>0</v>
      </c>
      <c r="BW58" s="179" t="b">
        <f t="shared" si="1"/>
        <v>0</v>
      </c>
      <c r="BX58" s="179" t="b">
        <f>+BX57</f>
        <v>0</v>
      </c>
      <c r="BY58" s="179" t="b">
        <f t="shared" si="1"/>
        <v>0</v>
      </c>
      <c r="BZ58" s="179" t="b">
        <f t="shared" si="1"/>
        <v>0</v>
      </c>
      <c r="CA58" s="179" t="b">
        <f t="shared" si="1"/>
        <v>0</v>
      </c>
      <c r="CB58" s="179" t="b">
        <f t="shared" si="1"/>
        <v>0</v>
      </c>
      <c r="CC58" s="179" t="b">
        <f>+CC57</f>
        <v>0</v>
      </c>
      <c r="CD58" s="179" t="b">
        <f>+CD57</f>
        <v>0</v>
      </c>
      <c r="CE58" s="179" t="b">
        <f>+CE57</f>
        <v>0</v>
      </c>
      <c r="CF58" s="179" t="b">
        <f>+CF57</f>
        <v>0</v>
      </c>
      <c r="CG58" s="179" t="b">
        <f>+CG57</f>
        <v>0</v>
      </c>
      <c r="CH58" s="179">
        <f t="shared" si="1"/>
        <v>17</v>
      </c>
      <c r="CI58" s="179" t="b">
        <f t="shared" si="1"/>
        <v>0</v>
      </c>
      <c r="CJ58" s="179" t="b">
        <f t="shared" si="1"/>
        <v>0</v>
      </c>
      <c r="CK58" s="179" t="b">
        <f>+CK57</f>
        <v>0</v>
      </c>
      <c r="CL58" s="179" t="b">
        <f>+CL57</f>
        <v>0</v>
      </c>
      <c r="CM58" s="179" t="b">
        <f t="shared" ref="CM58:DB58" si="2">+CM57</f>
        <v>0</v>
      </c>
      <c r="CN58" s="179" t="b">
        <f t="shared" si="2"/>
        <v>0</v>
      </c>
      <c r="CO58" s="179" t="b">
        <f t="shared" si="2"/>
        <v>0</v>
      </c>
      <c r="CP58" s="179" t="b">
        <f t="shared" si="2"/>
        <v>0</v>
      </c>
      <c r="CQ58" s="179" t="b">
        <f t="shared" si="2"/>
        <v>0</v>
      </c>
      <c r="CR58" s="179" t="b">
        <f t="shared" si="2"/>
        <v>0</v>
      </c>
      <c r="CS58" s="179" t="b">
        <f t="shared" si="2"/>
        <v>0</v>
      </c>
      <c r="CT58" s="179" t="b">
        <f t="shared" si="2"/>
        <v>0</v>
      </c>
      <c r="CU58" s="179" t="b">
        <f t="shared" si="2"/>
        <v>0</v>
      </c>
      <c r="CV58" s="179" t="b">
        <f t="shared" si="2"/>
        <v>0</v>
      </c>
      <c r="CW58" s="179" t="b">
        <f t="shared" si="2"/>
        <v>0</v>
      </c>
      <c r="CX58" s="179" t="b">
        <f t="shared" si="2"/>
        <v>0</v>
      </c>
      <c r="CY58" s="179" t="b">
        <f t="shared" si="2"/>
        <v>0</v>
      </c>
      <c r="CZ58" s="179" t="b">
        <f t="shared" si="2"/>
        <v>0</v>
      </c>
      <c r="DA58" s="179" t="b">
        <f t="shared" si="2"/>
        <v>0</v>
      </c>
      <c r="DB58" s="179" t="b">
        <f t="shared" si="2"/>
        <v>0</v>
      </c>
      <c r="DC58" s="179"/>
      <c r="DD58" s="62"/>
      <c r="DE58" s="62"/>
    </row>
    <row r="59" spans="7:142" ht="17.25" customHeight="1" thickBot="1" x14ac:dyDescent="0.25">
      <c r="G59" s="927"/>
      <c r="H59" s="43"/>
      <c r="I59" s="43"/>
      <c r="J59" s="43"/>
      <c r="K59" s="43"/>
      <c r="L59" s="43"/>
      <c r="M59" s="43"/>
      <c r="N59" s="43"/>
      <c r="O59" s="935"/>
      <c r="BN59" s="305"/>
      <c r="BO59" s="171"/>
      <c r="BP59" s="863"/>
      <c r="BQ59" s="62"/>
      <c r="BR59" s="179"/>
      <c r="BS59" s="179"/>
      <c r="BT59" s="179"/>
      <c r="BU59" s="179"/>
      <c r="BV59" s="179"/>
      <c r="BW59" s="179"/>
      <c r="BX59" s="179"/>
      <c r="BY59" s="179"/>
      <c r="BZ59" s="179"/>
      <c r="CA59" s="179"/>
      <c r="CB59" s="179"/>
      <c r="CC59" s="179"/>
      <c r="CD59" s="179"/>
      <c r="CE59" s="179"/>
      <c r="CF59" s="179"/>
      <c r="CG59" s="179"/>
      <c r="CH59" s="179"/>
      <c r="CI59" s="179"/>
      <c r="CJ59" s="179"/>
      <c r="CK59" s="179"/>
      <c r="CL59" s="179"/>
      <c r="CM59" s="179"/>
      <c r="CN59" s="179"/>
      <c r="CO59" s="179"/>
      <c r="CP59" s="179"/>
      <c r="CQ59" s="179"/>
      <c r="CR59" s="179"/>
      <c r="CS59" s="179"/>
      <c r="CT59" s="179"/>
      <c r="CU59" s="179"/>
      <c r="CV59" s="179"/>
      <c r="CW59" s="179"/>
      <c r="CX59" s="179"/>
      <c r="CY59" s="179"/>
      <c r="CZ59" s="179"/>
      <c r="DA59" s="179"/>
      <c r="DB59" s="179"/>
      <c r="DC59" s="179"/>
      <c r="DD59" s="62"/>
      <c r="DE59" s="62"/>
    </row>
    <row r="60" spans="7:142" ht="42" customHeight="1" thickBot="1" x14ac:dyDescent="0.3">
      <c r="G60" s="927"/>
      <c r="H60" s="43"/>
      <c r="I60" s="43"/>
      <c r="J60" s="43"/>
      <c r="K60" s="43"/>
      <c r="L60" s="43"/>
      <c r="M60" s="43"/>
      <c r="N60" s="43"/>
      <c r="O60" s="935"/>
      <c r="BN60" s="305"/>
      <c r="BO60" s="171"/>
      <c r="BP60" s="866" t="s">
        <v>112</v>
      </c>
      <c r="BQ60" s="180" t="s">
        <v>113</v>
      </c>
      <c r="BR60" s="591" t="str">
        <f>IF(BR58=1,17,"")</f>
        <v/>
      </c>
      <c r="BS60" s="592" t="str">
        <f>IF(BS58=2,16,"")</f>
        <v/>
      </c>
      <c r="BT60" s="592" t="str">
        <f>IF(BT58=3,15,"")</f>
        <v/>
      </c>
      <c r="BU60" s="592" t="str">
        <f>IF(BU58=4,14,"")</f>
        <v/>
      </c>
      <c r="BV60" s="592" t="str">
        <f>IF(BV58=5,13,"")</f>
        <v/>
      </c>
      <c r="BW60" s="592" t="str">
        <f>IF(BW58=6,12,"")</f>
        <v/>
      </c>
      <c r="BX60" s="592" t="str">
        <f>IF(BX58=7,11,"")</f>
        <v/>
      </c>
      <c r="BY60" s="592" t="str">
        <f>IF(BY58=8,10,"")</f>
        <v/>
      </c>
      <c r="BZ60" s="592" t="str">
        <f>IF(BZ58=9,9,"")</f>
        <v/>
      </c>
      <c r="CA60" s="592" t="str">
        <f>IF(CA58=10,8,"")</f>
        <v/>
      </c>
      <c r="CB60" s="592" t="str">
        <f>IF(CB58=11,7,"")</f>
        <v/>
      </c>
      <c r="CC60" s="733" t="str">
        <f>IF(CC58=12,1,"")</f>
        <v/>
      </c>
      <c r="CD60" s="590" t="str">
        <f>IF(CD58=13,2,"")</f>
        <v/>
      </c>
      <c r="CE60" s="590" t="str">
        <f>IF(CE58=14,3,"")</f>
        <v/>
      </c>
      <c r="CF60" s="590" t="str">
        <f>IF(CF58=15,4,"")</f>
        <v/>
      </c>
      <c r="CG60" s="590" t="str">
        <f>IF(CG58=16,5,"")</f>
        <v/>
      </c>
      <c r="CH60" s="590">
        <f>IF(CH58=17,6,"")</f>
        <v>6</v>
      </c>
      <c r="CI60" s="590" t="str">
        <f>IF(CI58=18,7,"")</f>
        <v/>
      </c>
      <c r="CJ60" s="590" t="str">
        <f>IF(CJ58=19,8,"")</f>
        <v/>
      </c>
      <c r="CK60" s="590" t="str">
        <f>IF(CK58=20,9,"")</f>
        <v/>
      </c>
      <c r="CL60" s="590" t="str">
        <f>IF(CL58=21,10,"")</f>
        <v/>
      </c>
      <c r="CM60" s="590" t="str">
        <f>IF(CM58=22,11,"")</f>
        <v/>
      </c>
      <c r="CN60" s="590" t="str">
        <f>IF(CN58=23,12,"")</f>
        <v/>
      </c>
      <c r="CO60" s="590" t="str">
        <f>IF(CO58=24,13,"")</f>
        <v/>
      </c>
      <c r="CP60" s="590" t="str">
        <f>IF(CP58=25,14,"")</f>
        <v/>
      </c>
      <c r="CQ60" s="590" t="str">
        <f>IF(CQ58=26,15,"")</f>
        <v/>
      </c>
      <c r="CR60" s="590" t="str">
        <f>IF(CR58=27,16,"")</f>
        <v/>
      </c>
      <c r="CS60" s="734" t="str">
        <f>IF(CS58=28,17,"")</f>
        <v/>
      </c>
      <c r="CT60" s="599" t="str">
        <f>IF(CT58=29,9,"")</f>
        <v/>
      </c>
      <c r="CU60" s="599" t="str">
        <f>IF(CU58=30,10,"")</f>
        <v/>
      </c>
      <c r="CV60" s="599" t="str">
        <f>IF(CV58=31,11,"")</f>
        <v/>
      </c>
      <c r="CW60" s="599" t="str">
        <f>IF(CW58=32,12,"")</f>
        <v/>
      </c>
      <c r="CX60" s="599" t="str">
        <f>IF(CX58=33,13,"")</f>
        <v/>
      </c>
      <c r="CY60" s="599" t="str">
        <f>IF(CY58=34,14,"")</f>
        <v/>
      </c>
      <c r="CZ60" s="599" t="str">
        <f>IF(CZ58=35,15,"")</f>
        <v/>
      </c>
      <c r="DA60" s="599" t="str">
        <f>IF(DA58=36,16,"")</f>
        <v/>
      </c>
      <c r="DB60" s="600" t="str">
        <f>IF(DB58=37,17,"")</f>
        <v/>
      </c>
      <c r="DC60" s="181"/>
      <c r="DD60" s="62"/>
      <c r="DE60" s="62"/>
    </row>
    <row r="61" spans="7:142" ht="42" customHeight="1" thickBot="1" x14ac:dyDescent="0.3">
      <c r="G61" s="927"/>
      <c r="H61" s="43"/>
      <c r="I61" s="43"/>
      <c r="J61" s="43"/>
      <c r="K61" s="43"/>
      <c r="L61" s="43"/>
      <c r="M61" s="43"/>
      <c r="N61" s="43"/>
      <c r="O61" s="935"/>
      <c r="BM61" s="767">
        <v>5</v>
      </c>
      <c r="BN61" s="1055" t="b">
        <f>AND(BP61&gt;=10,$BA$153&gt;=10,$BB$153&gt;=10,$BA$177&gt;=10,$BB$177&gt;=10)</f>
        <v>1</v>
      </c>
      <c r="BO61" s="67" t="str">
        <f>IF(BN61=TRUE,"O K","OVERLOAD")</f>
        <v>O K</v>
      </c>
      <c r="BP61" s="781">
        <f>IF(SUM(BR60:CB60)&gt;0,K85,0)+IF(SUM(CC60:CS60)&gt;0,L85,0)+IF(SUM(CT60:DB60)&gt;0,M85,0)</f>
        <v>40.342914775592533</v>
      </c>
      <c r="BQ61" s="631" t="s">
        <v>139</v>
      </c>
      <c r="BR61" s="632">
        <v>-10</v>
      </c>
      <c r="BS61" s="632">
        <v>-9</v>
      </c>
      <c r="BT61" s="632">
        <v>-8</v>
      </c>
      <c r="BU61" s="632">
        <v>-7</v>
      </c>
      <c r="BV61" s="632">
        <v>-6</v>
      </c>
      <c r="BW61" s="632">
        <v>-5</v>
      </c>
      <c r="BX61" s="632">
        <v>-4</v>
      </c>
      <c r="BY61" s="632">
        <v>-3</v>
      </c>
      <c r="BZ61" s="632">
        <v>-2</v>
      </c>
      <c r="CA61" s="632">
        <v>-1</v>
      </c>
      <c r="CB61" s="632">
        <v>0</v>
      </c>
      <c r="CC61" s="632">
        <v>1</v>
      </c>
      <c r="CD61" s="632">
        <v>2</v>
      </c>
      <c r="CE61" s="632">
        <v>3</v>
      </c>
      <c r="CF61" s="632">
        <v>4</v>
      </c>
      <c r="CG61" s="632">
        <v>5</v>
      </c>
      <c r="CH61" s="632">
        <v>6</v>
      </c>
      <c r="CI61" s="632">
        <v>7</v>
      </c>
      <c r="CJ61" s="632">
        <v>8</v>
      </c>
      <c r="CK61" s="632">
        <v>9</v>
      </c>
      <c r="CL61" s="632">
        <v>10</v>
      </c>
      <c r="CM61" s="632">
        <v>11</v>
      </c>
      <c r="CN61" s="632">
        <v>12</v>
      </c>
      <c r="CO61" s="632">
        <v>13</v>
      </c>
      <c r="CP61" s="632">
        <v>14</v>
      </c>
      <c r="CQ61" s="632">
        <v>15</v>
      </c>
      <c r="CR61" s="632">
        <v>16</v>
      </c>
      <c r="CS61" s="632">
        <v>17</v>
      </c>
      <c r="CT61" s="632">
        <v>18</v>
      </c>
      <c r="CU61" s="632">
        <v>19</v>
      </c>
      <c r="CV61" s="632">
        <v>20</v>
      </c>
      <c r="CW61" s="632">
        <v>21</v>
      </c>
      <c r="CX61" s="632">
        <v>22</v>
      </c>
      <c r="CY61" s="632">
        <v>23</v>
      </c>
      <c r="CZ61" s="632">
        <v>24</v>
      </c>
      <c r="DA61" s="632">
        <v>25</v>
      </c>
      <c r="DB61" s="634">
        <v>26</v>
      </c>
      <c r="DC61" s="181"/>
      <c r="DD61" s="62"/>
      <c r="DE61" s="62"/>
    </row>
    <row r="62" spans="7:142" ht="24" hidden="1" thickBot="1" x14ac:dyDescent="0.3">
      <c r="G62" s="927"/>
      <c r="H62" s="43"/>
      <c r="I62" s="43"/>
      <c r="J62" s="43"/>
      <c r="K62" s="43"/>
      <c r="L62" s="43"/>
      <c r="M62" s="43"/>
      <c r="N62" s="43"/>
      <c r="O62" s="935"/>
      <c r="BO62" s="69"/>
      <c r="BP62" s="11"/>
      <c r="BQ62" s="79"/>
      <c r="BR62" s="80"/>
      <c r="BS62" s="80"/>
      <c r="BT62" s="80"/>
      <c r="BU62" s="80"/>
      <c r="BV62" s="80"/>
      <c r="BW62" s="80"/>
      <c r="BX62" s="80"/>
      <c r="BY62" s="80"/>
      <c r="BZ62" s="77"/>
      <c r="CA62" s="77"/>
      <c r="CB62" s="72"/>
      <c r="CC62" s="72"/>
      <c r="CD62" s="72"/>
      <c r="CE62" s="72"/>
      <c r="CF62" s="72"/>
      <c r="CG62" s="72"/>
      <c r="CH62" s="72"/>
      <c r="CI62" s="72"/>
      <c r="CJ62" s="72"/>
      <c r="CK62" s="72"/>
      <c r="CL62" s="72"/>
      <c r="CM62" s="72"/>
      <c r="CN62" s="72"/>
      <c r="CO62" s="26"/>
      <c r="CP62" s="78"/>
      <c r="CQ62" s="78"/>
      <c r="CR62" s="78"/>
      <c r="CS62" s="78"/>
      <c r="CT62" s="75"/>
      <c r="CU62" s="75"/>
      <c r="CV62" s="75"/>
      <c r="CW62" s="75"/>
      <c r="CX62" s="75"/>
      <c r="CY62" s="75"/>
      <c r="CZ62" s="75"/>
      <c r="DA62" s="75"/>
      <c r="DB62" s="75"/>
      <c r="DC62" s="75"/>
      <c r="DD62" s="10"/>
      <c r="DE62" s="62"/>
    </row>
    <row r="63" spans="7:142" ht="24" hidden="1" thickBot="1" x14ac:dyDescent="0.3">
      <c r="G63" s="927"/>
      <c r="H63" s="43"/>
      <c r="I63" s="43"/>
      <c r="J63" s="43"/>
      <c r="K63" s="43"/>
      <c r="L63" s="43"/>
      <c r="M63" s="43"/>
      <c r="N63" s="43"/>
      <c r="O63" s="935"/>
      <c r="BO63" s="69"/>
      <c r="BP63" s="11"/>
      <c r="BQ63" s="79">
        <v>36</v>
      </c>
      <c r="BR63" s="80"/>
      <c r="BS63" s="80"/>
      <c r="BT63" s="80"/>
      <c r="BU63" s="80"/>
      <c r="BV63" s="80"/>
      <c r="BW63" s="80"/>
      <c r="BX63" s="80"/>
      <c r="BY63" s="80"/>
      <c r="BZ63" s="77"/>
      <c r="CA63" s="77"/>
      <c r="CB63" s="72"/>
      <c r="CC63" s="72"/>
      <c r="CD63" s="72"/>
      <c r="CE63" s="72"/>
      <c r="CF63" s="72"/>
      <c r="CG63" s="72"/>
      <c r="CH63" s="72"/>
      <c r="CI63" s="81"/>
      <c r="CJ63" s="82"/>
      <c r="CK63" s="83"/>
      <c r="CL63" s="72"/>
      <c r="CM63" s="72"/>
      <c r="CN63" s="72"/>
      <c r="CO63" s="26"/>
      <c r="CP63" s="78"/>
      <c r="CQ63" s="78"/>
      <c r="CR63" s="78"/>
      <c r="CS63" s="78"/>
      <c r="CT63" s="75"/>
      <c r="CU63" s="75"/>
      <c r="CV63" s="75"/>
      <c r="CW63" s="75"/>
      <c r="CX63" s="75"/>
      <c r="CY63" s="75"/>
      <c r="CZ63" s="84" t="b">
        <f>IF(DA57=36,35)</f>
        <v>0</v>
      </c>
      <c r="DA63" s="85"/>
      <c r="DB63" s="86" t="b">
        <f>IF(DA57=36,37)</f>
        <v>0</v>
      </c>
      <c r="DC63" s="75"/>
      <c r="DD63" s="10"/>
      <c r="DE63" s="62"/>
    </row>
    <row r="64" spans="7:142" ht="24" hidden="1" thickBot="1" x14ac:dyDescent="0.3">
      <c r="G64" s="927"/>
      <c r="H64" s="43"/>
      <c r="I64" s="43"/>
      <c r="J64" s="43"/>
      <c r="K64" s="43"/>
      <c r="L64" s="43"/>
      <c r="M64" s="43"/>
      <c r="N64" s="43"/>
      <c r="O64" s="935"/>
      <c r="BO64" s="69"/>
      <c r="BP64" s="11"/>
      <c r="BQ64" s="79">
        <v>35</v>
      </c>
      <c r="BR64" s="80"/>
      <c r="BS64" s="80"/>
      <c r="BT64" s="80"/>
      <c r="BU64" s="80"/>
      <c r="BV64" s="80"/>
      <c r="BW64" s="80"/>
      <c r="BX64" s="80"/>
      <c r="BY64" s="80"/>
      <c r="BZ64" s="77"/>
      <c r="CA64" s="77"/>
      <c r="CB64" s="72"/>
      <c r="CC64" s="72"/>
      <c r="CD64" s="72"/>
      <c r="CE64" s="72"/>
      <c r="CF64" s="72"/>
      <c r="CG64" s="72"/>
      <c r="CH64" s="72"/>
      <c r="CI64" s="87"/>
      <c r="CJ64" s="72"/>
      <c r="CK64" s="88"/>
      <c r="CL64" s="72"/>
      <c r="CM64" s="72"/>
      <c r="CN64" s="72"/>
      <c r="CO64" s="26"/>
      <c r="CP64" s="78"/>
      <c r="CQ64" s="78"/>
      <c r="CR64" s="78"/>
      <c r="CS64" s="78"/>
      <c r="CT64" s="75"/>
      <c r="CU64" s="75"/>
      <c r="CV64" s="75"/>
      <c r="CW64" s="75"/>
      <c r="CX64" s="84" t="b">
        <f>IF(CZ57=35,33)</f>
        <v>0</v>
      </c>
      <c r="CY64" s="85"/>
      <c r="CZ64" s="85"/>
      <c r="DA64" s="85"/>
      <c r="DB64" s="86" t="b">
        <f>IF(CZ57=35,37)</f>
        <v>0</v>
      </c>
      <c r="DC64" s="75"/>
      <c r="DD64" s="10"/>
      <c r="DE64" s="62"/>
    </row>
    <row r="65" spans="7:109" ht="24" hidden="1" thickBot="1" x14ac:dyDescent="0.3">
      <c r="G65" s="927"/>
      <c r="H65" s="43"/>
      <c r="I65" s="43"/>
      <c r="J65" s="43"/>
      <c r="K65" s="43"/>
      <c r="L65" s="43"/>
      <c r="M65" s="43"/>
      <c r="N65" s="43"/>
      <c r="O65" s="935"/>
      <c r="BO65" s="69"/>
      <c r="BP65" s="11"/>
      <c r="BQ65" s="79">
        <v>34</v>
      </c>
      <c r="BR65" s="80"/>
      <c r="BS65" s="80"/>
      <c r="BT65" s="80"/>
      <c r="BU65" s="80"/>
      <c r="BV65" s="80"/>
      <c r="BW65" s="80"/>
      <c r="BX65" s="80"/>
      <c r="BY65" s="80"/>
      <c r="BZ65" s="77"/>
      <c r="CA65" s="77"/>
      <c r="CB65" s="72"/>
      <c r="CC65" s="72"/>
      <c r="CD65" s="72"/>
      <c r="CE65" s="72"/>
      <c r="CF65" s="72"/>
      <c r="CG65" s="72"/>
      <c r="CH65" s="72"/>
      <c r="CI65" s="87"/>
      <c r="CJ65" s="72"/>
      <c r="CK65" s="88"/>
      <c r="CL65" s="72"/>
      <c r="CM65" s="72"/>
      <c r="CN65" s="72"/>
      <c r="CO65" s="26"/>
      <c r="CP65" s="78"/>
      <c r="CQ65" s="78"/>
      <c r="CR65" s="78"/>
      <c r="CS65" s="78"/>
      <c r="CT65" s="75"/>
      <c r="CU65" s="75"/>
      <c r="CV65" s="84" t="b">
        <f>IF(CY57=34,31)</f>
        <v>0</v>
      </c>
      <c r="CW65" s="85"/>
      <c r="CX65" s="85"/>
      <c r="CY65" s="85"/>
      <c r="CZ65" s="85"/>
      <c r="DA65" s="85"/>
      <c r="DB65" s="86" t="b">
        <f>IF(CY57=34,37)</f>
        <v>0</v>
      </c>
      <c r="DC65" s="75"/>
      <c r="DD65" s="10"/>
      <c r="DE65" s="62"/>
    </row>
    <row r="66" spans="7:109" ht="24" hidden="1" thickBot="1" x14ac:dyDescent="0.3">
      <c r="G66" s="927"/>
      <c r="H66" s="43"/>
      <c r="I66" s="43"/>
      <c r="J66" s="43"/>
      <c r="K66" s="43"/>
      <c r="L66" s="43"/>
      <c r="M66" s="43"/>
      <c r="N66" s="43"/>
      <c r="O66" s="935"/>
      <c r="BO66" s="69"/>
      <c r="BP66" s="11"/>
      <c r="BQ66" s="79">
        <v>33</v>
      </c>
      <c r="BR66" s="80"/>
      <c r="BS66" s="80"/>
      <c r="BT66" s="80"/>
      <c r="BU66" s="80"/>
      <c r="BV66" s="80"/>
      <c r="BW66" s="80"/>
      <c r="BX66" s="80"/>
      <c r="BY66" s="80"/>
      <c r="BZ66" s="77"/>
      <c r="CA66" s="77"/>
      <c r="CB66" s="72"/>
      <c r="CC66" s="72"/>
      <c r="CD66" s="72"/>
      <c r="CE66" s="72"/>
      <c r="CF66" s="72"/>
      <c r="CG66" s="72"/>
      <c r="CH66" s="72"/>
      <c r="CI66" s="87"/>
      <c r="CJ66" s="72"/>
      <c r="CK66" s="88"/>
      <c r="CL66" s="72"/>
      <c r="CM66" s="72"/>
      <c r="CN66" s="72"/>
      <c r="CO66" s="26"/>
      <c r="CP66" s="78"/>
      <c r="CQ66" s="78"/>
      <c r="CR66" s="78"/>
      <c r="CS66" s="78"/>
      <c r="CT66" s="84" t="b">
        <f>IF(CX57=33,29)</f>
        <v>0</v>
      </c>
      <c r="CU66" s="85"/>
      <c r="CV66" s="85"/>
      <c r="CW66" s="85"/>
      <c r="CX66" s="85"/>
      <c r="CY66" s="85"/>
      <c r="CZ66" s="85"/>
      <c r="DA66" s="85"/>
      <c r="DB66" s="86" t="b">
        <f>IF(CX57=33,37)</f>
        <v>0</v>
      </c>
      <c r="DC66" s="75"/>
      <c r="DD66" s="10"/>
      <c r="DE66" s="62"/>
    </row>
    <row r="67" spans="7:109" ht="21" hidden="1" thickBot="1" x14ac:dyDescent="0.25">
      <c r="G67" s="927"/>
      <c r="H67" s="43"/>
      <c r="I67" s="43"/>
      <c r="J67" s="43"/>
      <c r="K67" s="43"/>
      <c r="L67" s="43"/>
      <c r="M67" s="43"/>
      <c r="N67" s="43"/>
      <c r="O67" s="935"/>
      <c r="BO67" s="69"/>
      <c r="BQ67" s="79">
        <v>32</v>
      </c>
      <c r="BR67" s="90"/>
      <c r="BS67" s="90"/>
      <c r="BT67" s="90"/>
      <c r="BU67" s="90"/>
      <c r="BV67" s="90"/>
      <c r="BW67" s="91"/>
      <c r="BX67" s="90"/>
      <c r="BY67" s="90"/>
      <c r="BZ67" s="90"/>
      <c r="CA67" s="90"/>
      <c r="CB67" s="90"/>
      <c r="CC67" s="90"/>
      <c r="CD67" s="90"/>
      <c r="CE67" s="90"/>
      <c r="CF67" s="90"/>
      <c r="CG67" s="90"/>
      <c r="CH67" s="90"/>
      <c r="CI67" s="92"/>
      <c r="CJ67" s="90"/>
      <c r="CK67" s="93"/>
      <c r="CL67" s="90"/>
      <c r="CM67" s="90"/>
      <c r="CN67" s="90"/>
      <c r="CO67" s="91"/>
      <c r="CP67" s="62"/>
      <c r="CQ67" s="62"/>
      <c r="CR67" s="84" t="b">
        <f>IF(CW57=32,27)</f>
        <v>0</v>
      </c>
      <c r="CS67" s="94"/>
      <c r="CT67" s="94"/>
      <c r="CU67" s="94"/>
      <c r="CV67" s="94"/>
      <c r="CW67" s="94"/>
      <c r="CX67" s="94"/>
      <c r="CY67" s="94"/>
      <c r="CZ67" s="94"/>
      <c r="DA67" s="94"/>
      <c r="DB67" s="86" t="b">
        <f>IF(CW57=32,37)</f>
        <v>0</v>
      </c>
      <c r="DC67" s="62"/>
      <c r="DD67" s="62"/>
      <c r="DE67" s="62"/>
    </row>
    <row r="68" spans="7:109" ht="21" hidden="1" thickBot="1" x14ac:dyDescent="0.25">
      <c r="G68" s="927"/>
      <c r="H68" s="43"/>
      <c r="I68" s="43"/>
      <c r="J68" s="43"/>
      <c r="K68" s="43"/>
      <c r="L68" s="43"/>
      <c r="M68" s="43"/>
      <c r="N68" s="43"/>
      <c r="O68" s="935"/>
      <c r="BO68" s="69"/>
      <c r="BQ68" s="79">
        <v>31</v>
      </c>
      <c r="BR68" s="90"/>
      <c r="BS68" s="90"/>
      <c r="BT68" s="90"/>
      <c r="BU68" s="90"/>
      <c r="BV68" s="90"/>
      <c r="BW68" s="91"/>
      <c r="BX68" s="90"/>
      <c r="BY68" s="90"/>
      <c r="BZ68" s="90"/>
      <c r="CA68" s="90"/>
      <c r="CB68" s="90"/>
      <c r="CC68" s="90"/>
      <c r="CD68" s="90"/>
      <c r="CE68" s="90"/>
      <c r="CF68" s="90"/>
      <c r="CG68" s="90"/>
      <c r="CH68" s="90"/>
      <c r="CI68" s="92"/>
      <c r="CJ68" s="90"/>
      <c r="CK68" s="93"/>
      <c r="CL68" s="90"/>
      <c r="CM68" s="90"/>
      <c r="CN68" s="90"/>
      <c r="CO68" s="91"/>
      <c r="CP68" s="84" t="b">
        <f>IF(CV57=31,25)</f>
        <v>0</v>
      </c>
      <c r="CQ68" s="94"/>
      <c r="CR68" s="94"/>
      <c r="CS68" s="94"/>
      <c r="CT68" s="94"/>
      <c r="CU68" s="94"/>
      <c r="CV68" s="94"/>
      <c r="CW68" s="94"/>
      <c r="CX68" s="94"/>
      <c r="CY68" s="94"/>
      <c r="CZ68" s="94"/>
      <c r="DA68" s="94"/>
      <c r="DB68" s="86" t="b">
        <f>IF(CV57=31,37)</f>
        <v>0</v>
      </c>
      <c r="DC68" s="62"/>
      <c r="DD68" s="62"/>
      <c r="DE68" s="62"/>
    </row>
    <row r="69" spans="7:109" ht="21" hidden="1" thickBot="1" x14ac:dyDescent="0.25">
      <c r="G69" s="927"/>
      <c r="H69" s="43"/>
      <c r="I69" s="43"/>
      <c r="J69" s="43"/>
      <c r="K69" s="43"/>
      <c r="L69" s="43"/>
      <c r="M69" s="43"/>
      <c r="N69" s="43"/>
      <c r="O69" s="935"/>
      <c r="BO69" s="69"/>
      <c r="BQ69" s="79">
        <v>30</v>
      </c>
      <c r="BR69" s="90"/>
      <c r="BS69" s="90"/>
      <c r="BT69" s="90"/>
      <c r="BU69" s="90"/>
      <c r="BV69" s="90"/>
      <c r="BW69" s="91"/>
      <c r="BX69" s="90"/>
      <c r="BY69" s="90"/>
      <c r="BZ69" s="90"/>
      <c r="CA69" s="90"/>
      <c r="CB69" s="90"/>
      <c r="CC69" s="90"/>
      <c r="CD69" s="90"/>
      <c r="CE69" s="90"/>
      <c r="CF69" s="90"/>
      <c r="CG69" s="90"/>
      <c r="CH69" s="90"/>
      <c r="CI69" s="92"/>
      <c r="CJ69" s="90"/>
      <c r="CK69" s="93"/>
      <c r="CL69" s="90"/>
      <c r="CM69" s="90"/>
      <c r="CN69" s="84" t="b">
        <f>IF(CU57=30,23)</f>
        <v>0</v>
      </c>
      <c r="CO69" s="95"/>
      <c r="CP69" s="94"/>
      <c r="CQ69" s="94"/>
      <c r="CR69" s="94"/>
      <c r="CS69" s="94"/>
      <c r="CT69" s="94"/>
      <c r="CU69" s="94"/>
      <c r="CV69" s="94"/>
      <c r="CW69" s="94"/>
      <c r="CX69" s="94"/>
      <c r="CY69" s="94"/>
      <c r="CZ69" s="94"/>
      <c r="DA69" s="94"/>
      <c r="DB69" s="86" t="b">
        <f>IF(CU57=30,37)</f>
        <v>0</v>
      </c>
      <c r="DC69" s="62"/>
      <c r="DD69" s="62"/>
      <c r="DE69" s="62"/>
    </row>
    <row r="70" spans="7:109" ht="21" hidden="1" thickBot="1" x14ac:dyDescent="0.25">
      <c r="G70" s="927"/>
      <c r="H70" s="43"/>
      <c r="I70" s="43"/>
      <c r="J70" s="43"/>
      <c r="K70" s="43"/>
      <c r="L70" s="43"/>
      <c r="M70" s="43"/>
      <c r="N70" s="43"/>
      <c r="O70" s="935"/>
      <c r="BO70" s="69"/>
      <c r="BP70" s="97"/>
      <c r="BQ70" s="79">
        <v>29</v>
      </c>
      <c r="BR70" s="62"/>
      <c r="BS70" s="62"/>
      <c r="BT70" s="62"/>
      <c r="BU70" s="62"/>
      <c r="BV70" s="62"/>
      <c r="BW70" s="62"/>
      <c r="BX70" s="62"/>
      <c r="BY70" s="62"/>
      <c r="BZ70" s="62"/>
      <c r="CA70" s="62"/>
      <c r="CB70" s="62"/>
      <c r="CC70" s="62"/>
      <c r="CD70" s="62"/>
      <c r="CE70" s="62"/>
      <c r="CF70" s="62"/>
      <c r="CG70" s="62"/>
      <c r="CH70" s="62"/>
      <c r="CI70" s="98"/>
      <c r="CJ70" s="62"/>
      <c r="CK70" s="99"/>
      <c r="CL70" s="100" t="b">
        <f>IF(CT57=29,21)</f>
        <v>0</v>
      </c>
      <c r="CM70" s="94"/>
      <c r="CN70" s="94"/>
      <c r="CO70" s="94"/>
      <c r="CP70" s="94"/>
      <c r="CQ70" s="94"/>
      <c r="CR70" s="94"/>
      <c r="CS70" s="101"/>
      <c r="CT70" s="94"/>
      <c r="CU70" s="101"/>
      <c r="CV70" s="102"/>
      <c r="CW70" s="102"/>
      <c r="CX70" s="102"/>
      <c r="CY70" s="102"/>
      <c r="CZ70" s="102"/>
      <c r="DA70" s="102"/>
      <c r="DB70" s="86" t="b">
        <f>IF(CT57=29,37)</f>
        <v>0</v>
      </c>
      <c r="DC70" s="60"/>
      <c r="DD70" s="62"/>
      <c r="DE70" s="62"/>
    </row>
    <row r="71" spans="7:109" ht="21" hidden="1" thickBot="1" x14ac:dyDescent="0.25">
      <c r="G71" s="927"/>
      <c r="H71" s="43"/>
      <c r="I71" s="43"/>
      <c r="J71" s="43"/>
      <c r="K71" s="43"/>
      <c r="L71" s="43"/>
      <c r="M71" s="43"/>
      <c r="N71" s="43"/>
      <c r="O71" s="935"/>
      <c r="BO71" s="69"/>
      <c r="BP71" s="97"/>
      <c r="BQ71" s="79">
        <v>28</v>
      </c>
      <c r="BR71" s="62"/>
      <c r="BS71" s="62"/>
      <c r="BT71" s="62"/>
      <c r="BU71" s="62"/>
      <c r="BV71" s="62"/>
      <c r="BW71" s="62"/>
      <c r="BX71" s="62"/>
      <c r="BY71" s="62"/>
      <c r="BZ71" s="62"/>
      <c r="CA71" s="62"/>
      <c r="CB71" s="62"/>
      <c r="CC71" s="62"/>
      <c r="CD71" s="62"/>
      <c r="CE71" s="62"/>
      <c r="CF71" s="62"/>
      <c r="CG71" s="62"/>
      <c r="CH71" s="62"/>
      <c r="CI71" s="98"/>
      <c r="CJ71" s="62"/>
      <c r="CK71" s="99"/>
      <c r="CL71" s="103" t="b">
        <f>IF(CS57=28,21)</f>
        <v>0</v>
      </c>
      <c r="CM71" s="104"/>
      <c r="CN71" s="104"/>
      <c r="CO71" s="104"/>
      <c r="CP71" s="104"/>
      <c r="CQ71" s="105"/>
      <c r="CR71" s="104"/>
      <c r="CS71" s="104"/>
      <c r="CT71" s="104"/>
      <c r="CU71" s="105"/>
      <c r="CV71" s="106"/>
      <c r="CW71" s="106"/>
      <c r="CX71" s="106"/>
      <c r="CY71" s="106"/>
      <c r="CZ71" s="107" t="b">
        <f>IF(CS57=28,35)</f>
        <v>0</v>
      </c>
      <c r="DA71" s="60"/>
      <c r="DB71" s="60"/>
      <c r="DC71" s="60"/>
      <c r="DD71" s="62"/>
      <c r="DE71" s="62"/>
    </row>
    <row r="72" spans="7:109" ht="21" hidden="1" thickBot="1" x14ac:dyDescent="0.25">
      <c r="G72" s="927"/>
      <c r="H72" s="43"/>
      <c r="I72" s="43"/>
      <c r="J72" s="43"/>
      <c r="K72" s="43"/>
      <c r="L72" s="43"/>
      <c r="M72" s="43"/>
      <c r="N72" s="43"/>
      <c r="O72" s="935"/>
      <c r="BO72" s="69"/>
      <c r="BP72" s="97"/>
      <c r="BQ72" s="79">
        <v>27</v>
      </c>
      <c r="BR72" s="62"/>
      <c r="BS72" s="62"/>
      <c r="BT72" s="62"/>
      <c r="BU72" s="62"/>
      <c r="BV72" s="62"/>
      <c r="BW72" s="62"/>
      <c r="BX72" s="62"/>
      <c r="BY72" s="62"/>
      <c r="BZ72" s="62"/>
      <c r="CA72" s="62"/>
      <c r="CB72" s="62"/>
      <c r="CC72" s="62"/>
      <c r="CD72" s="62"/>
      <c r="CE72" s="62"/>
      <c r="CF72" s="62"/>
      <c r="CG72" s="62"/>
      <c r="CH72" s="62"/>
      <c r="CI72" s="98"/>
      <c r="CJ72" s="62"/>
      <c r="CK72" s="99"/>
      <c r="CL72" s="103" t="b">
        <f>IF(CR57=27,21)</f>
        <v>0</v>
      </c>
      <c r="CM72" s="104"/>
      <c r="CN72" s="104"/>
      <c r="CO72" s="105"/>
      <c r="CP72" s="104"/>
      <c r="CQ72" s="104"/>
      <c r="CR72" s="104"/>
      <c r="CS72" s="104"/>
      <c r="CT72" s="104"/>
      <c r="CU72" s="105"/>
      <c r="CV72" s="106"/>
      <c r="CW72" s="106"/>
      <c r="CX72" s="107" t="b">
        <f>IF(CR57=27,33)</f>
        <v>0</v>
      </c>
      <c r="CY72" s="60"/>
      <c r="CZ72" s="60"/>
      <c r="DA72" s="60"/>
      <c r="DB72" s="60"/>
      <c r="DC72" s="60"/>
      <c r="DD72" s="62"/>
      <c r="DE72" s="62"/>
    </row>
    <row r="73" spans="7:109" ht="21" hidden="1" thickBot="1" x14ac:dyDescent="0.25">
      <c r="G73" s="927"/>
      <c r="H73" s="43"/>
      <c r="I73" s="43"/>
      <c r="J73" s="43"/>
      <c r="K73" s="43"/>
      <c r="L73" s="43"/>
      <c r="M73" s="43"/>
      <c r="N73" s="43"/>
      <c r="O73" s="935"/>
      <c r="BO73" s="69"/>
      <c r="BQ73" s="79">
        <v>26</v>
      </c>
      <c r="BR73" s="62"/>
      <c r="BS73" s="62"/>
      <c r="BT73" s="62"/>
      <c r="BU73" s="62"/>
      <c r="BV73" s="62"/>
      <c r="BW73" s="62"/>
      <c r="BX73" s="62"/>
      <c r="BY73" s="62"/>
      <c r="BZ73" s="62"/>
      <c r="CA73" s="62"/>
      <c r="CB73" s="62"/>
      <c r="CC73" s="62"/>
      <c r="CD73" s="62"/>
      <c r="CE73" s="62"/>
      <c r="CF73" s="62"/>
      <c r="CG73" s="62"/>
      <c r="CH73" s="62"/>
      <c r="CI73" s="98"/>
      <c r="CJ73" s="62"/>
      <c r="CK73" s="99"/>
      <c r="CL73" s="103" t="b">
        <f>IF(CQ57=26,21)</f>
        <v>0</v>
      </c>
      <c r="CM73" s="105"/>
      <c r="CN73" s="104"/>
      <c r="CO73" s="104"/>
      <c r="CP73" s="104"/>
      <c r="CQ73" s="104"/>
      <c r="CR73" s="104"/>
      <c r="CS73" s="104"/>
      <c r="CT73" s="104"/>
      <c r="CU73" s="105"/>
      <c r="CV73" s="107" t="b">
        <f>IF(CQ57=26,31)</f>
        <v>0</v>
      </c>
      <c r="CW73" s="60"/>
      <c r="CX73" s="60"/>
      <c r="CY73" s="60"/>
      <c r="CZ73" s="60"/>
      <c r="DA73" s="60"/>
      <c r="DB73" s="60"/>
      <c r="DC73" s="60"/>
      <c r="DD73" s="62"/>
      <c r="DE73" s="62"/>
    </row>
    <row r="74" spans="7:109" ht="21" hidden="1" thickBot="1" x14ac:dyDescent="0.25">
      <c r="G74" s="927"/>
      <c r="H74" s="43"/>
      <c r="I74" s="43"/>
      <c r="J74" s="43"/>
      <c r="K74" s="43"/>
      <c r="L74" s="43"/>
      <c r="M74" s="43"/>
      <c r="N74" s="43"/>
      <c r="O74" s="935"/>
      <c r="BO74" s="69"/>
      <c r="BP74" s="109"/>
      <c r="BQ74" s="79">
        <v>25</v>
      </c>
      <c r="BR74" s="62"/>
      <c r="BS74" s="62"/>
      <c r="BT74" s="62"/>
      <c r="BU74" s="62"/>
      <c r="BV74" s="62"/>
      <c r="BW74" s="62"/>
      <c r="BX74" s="62"/>
      <c r="BY74" s="62"/>
      <c r="BZ74" s="62"/>
      <c r="CA74" s="62"/>
      <c r="CB74" s="62"/>
      <c r="CD74" s="62"/>
      <c r="CE74" s="62"/>
      <c r="CF74" s="62"/>
      <c r="CG74" s="62"/>
      <c r="CH74" s="62"/>
      <c r="CI74" s="98"/>
      <c r="CJ74" s="62"/>
      <c r="CL74" s="111" t="b">
        <f>IF(CP57=25,21)</f>
        <v>0</v>
      </c>
      <c r="CM74" s="104"/>
      <c r="CN74" s="104"/>
      <c r="CO74" s="104"/>
      <c r="CP74" s="104"/>
      <c r="CQ74" s="104"/>
      <c r="CR74" s="104"/>
      <c r="CS74" s="104"/>
      <c r="CT74" s="107" t="b">
        <f>IF(CP57=25,29)</f>
        <v>0</v>
      </c>
      <c r="CV74" s="60"/>
      <c r="CW74" s="60"/>
      <c r="CX74" s="60"/>
      <c r="CY74" s="60"/>
      <c r="CZ74" s="60"/>
      <c r="DA74" s="60"/>
      <c r="DB74" s="60"/>
      <c r="DC74" s="60"/>
      <c r="DD74" s="62"/>
      <c r="DE74" s="62"/>
    </row>
    <row r="75" spans="7:109" ht="21" hidden="1" thickBot="1" x14ac:dyDescent="0.25">
      <c r="G75" s="927"/>
      <c r="H75" s="43"/>
      <c r="I75" s="43"/>
      <c r="J75" s="43"/>
      <c r="K75" s="43"/>
      <c r="L75" s="43"/>
      <c r="M75" s="43"/>
      <c r="N75" s="43"/>
      <c r="O75" s="935"/>
      <c r="BO75" s="69"/>
      <c r="BP75" s="109"/>
      <c r="BQ75" s="79">
        <v>24</v>
      </c>
      <c r="BR75" s="62"/>
      <c r="BS75" s="62"/>
      <c r="BT75" s="62"/>
      <c r="BU75" s="62"/>
      <c r="BV75" s="62"/>
      <c r="BW75" s="62"/>
      <c r="BX75" s="62"/>
      <c r="BY75" s="62"/>
      <c r="BZ75" s="62"/>
      <c r="CA75" s="62"/>
      <c r="CB75" s="62"/>
      <c r="CC75" s="100" t="b">
        <f>IF(CO57=24,12)</f>
        <v>0</v>
      </c>
      <c r="CD75" s="94"/>
      <c r="CE75" s="94"/>
      <c r="CF75" s="94"/>
      <c r="CG75" s="94"/>
      <c r="CH75" s="94"/>
      <c r="CI75" s="101"/>
      <c r="CJ75" s="94"/>
      <c r="CK75" s="112"/>
      <c r="CL75" s="94"/>
      <c r="CM75" s="94"/>
      <c r="CN75" s="94"/>
      <c r="CO75" s="94"/>
      <c r="CP75" s="94"/>
      <c r="CQ75" s="94"/>
      <c r="CR75" s="94"/>
      <c r="CS75" s="94"/>
      <c r="CT75" s="94"/>
      <c r="CU75" s="101"/>
      <c r="CV75" s="102"/>
      <c r="CW75" s="102"/>
      <c r="CX75" s="102"/>
      <c r="CY75" s="102"/>
      <c r="CZ75" s="102"/>
      <c r="DA75" s="86" t="b">
        <f>IF(CO57=24,36)</f>
        <v>0</v>
      </c>
      <c r="DB75" s="60"/>
      <c r="DC75" s="60"/>
      <c r="DD75" s="62"/>
      <c r="DE75" s="62"/>
    </row>
    <row r="76" spans="7:109" ht="21" hidden="1" thickBot="1" x14ac:dyDescent="0.25">
      <c r="G76" s="927"/>
      <c r="H76" s="43"/>
      <c r="I76" s="43"/>
      <c r="J76" s="43"/>
      <c r="K76" s="43"/>
      <c r="L76" s="43"/>
      <c r="M76" s="43"/>
      <c r="N76" s="43"/>
      <c r="O76" s="935"/>
      <c r="BO76" s="69"/>
      <c r="BP76" s="109"/>
      <c r="BQ76" s="79">
        <v>23</v>
      </c>
      <c r="BR76" s="62"/>
      <c r="BS76" s="62"/>
      <c r="BT76" s="62"/>
      <c r="BU76" s="62"/>
      <c r="BV76" s="62"/>
      <c r="BW76" s="62"/>
      <c r="BX76" s="62"/>
      <c r="BY76" s="62"/>
      <c r="BZ76" s="62"/>
      <c r="CA76" s="62"/>
      <c r="CB76" s="62"/>
      <c r="CC76" s="103" t="b">
        <f>IF(CN57=23,12)</f>
        <v>0</v>
      </c>
      <c r="CD76" s="104"/>
      <c r="CE76" s="104"/>
      <c r="CF76" s="104"/>
      <c r="CG76" s="105"/>
      <c r="CH76" s="104"/>
      <c r="CI76" s="115"/>
      <c r="CJ76" s="104"/>
      <c r="CK76" s="116"/>
      <c r="CL76" s="104"/>
      <c r="CM76" s="104"/>
      <c r="CN76" s="104"/>
      <c r="CO76" s="104"/>
      <c r="CP76" s="104"/>
      <c r="CQ76" s="104"/>
      <c r="CR76" s="104"/>
      <c r="CS76" s="104"/>
      <c r="CT76" s="104"/>
      <c r="CU76" s="105"/>
      <c r="CV76" s="106"/>
      <c r="CW76" s="106"/>
      <c r="CX76" s="106"/>
      <c r="CY76" s="107" t="b">
        <f>IF(CN57=23,34)</f>
        <v>0</v>
      </c>
      <c r="CZ76" s="60"/>
      <c r="DA76" s="60"/>
      <c r="DB76" s="60"/>
      <c r="DC76" s="60"/>
      <c r="DD76" s="62"/>
      <c r="DE76" s="62"/>
    </row>
    <row r="77" spans="7:109" ht="21" hidden="1" thickBot="1" x14ac:dyDescent="0.25">
      <c r="G77" s="927"/>
      <c r="H77" s="43"/>
      <c r="I77" s="43"/>
      <c r="J77" s="43"/>
      <c r="K77" s="43"/>
      <c r="L77" s="43"/>
      <c r="M77" s="43"/>
      <c r="N77" s="43"/>
      <c r="O77" s="935"/>
      <c r="BO77" s="69"/>
      <c r="BP77" s="109"/>
      <c r="BQ77" s="79">
        <v>22</v>
      </c>
      <c r="BR77" s="60"/>
      <c r="BS77" s="60"/>
      <c r="BT77" s="60"/>
      <c r="BU77" s="60"/>
      <c r="BV77" s="60"/>
      <c r="BW77" s="60"/>
      <c r="BX77" s="60"/>
      <c r="BY77" s="60"/>
      <c r="BZ77" s="60"/>
      <c r="CA77" s="60"/>
      <c r="CB77" s="60"/>
      <c r="CC77" s="103" t="b">
        <f>IF(CM57=22,12)</f>
        <v>0</v>
      </c>
      <c r="CD77" s="106"/>
      <c r="CE77" s="106"/>
      <c r="CF77" s="106"/>
      <c r="CG77" s="105"/>
      <c r="CH77" s="106"/>
      <c r="CI77" s="117"/>
      <c r="CJ77" s="106"/>
      <c r="CK77" s="118"/>
      <c r="CL77" s="106"/>
      <c r="CM77" s="106"/>
      <c r="CN77" s="106"/>
      <c r="CO77" s="106"/>
      <c r="CP77" s="104"/>
      <c r="CQ77" s="104"/>
      <c r="CR77" s="105"/>
      <c r="CS77" s="104"/>
      <c r="CT77" s="104"/>
      <c r="CU77" s="104"/>
      <c r="CV77" s="104"/>
      <c r="CW77" s="107" t="b">
        <f>IF(CM57=22,32)</f>
        <v>0</v>
      </c>
      <c r="CX77" s="62"/>
      <c r="CY77" s="62"/>
      <c r="CZ77" s="62"/>
      <c r="DA77" s="62"/>
      <c r="DB77" s="62"/>
      <c r="DC77" s="62"/>
      <c r="DD77" s="62"/>
      <c r="DE77" s="62"/>
    </row>
    <row r="78" spans="7:109" ht="21" hidden="1" thickBot="1" x14ac:dyDescent="0.25">
      <c r="G78" s="927"/>
      <c r="H78" s="43"/>
      <c r="I78" s="43"/>
      <c r="J78" s="43"/>
      <c r="K78" s="43"/>
      <c r="L78" s="43"/>
      <c r="M78" s="43"/>
      <c r="N78" s="43"/>
      <c r="O78" s="935"/>
      <c r="BO78" s="69"/>
      <c r="BP78" s="109"/>
      <c r="BQ78" s="79">
        <v>21</v>
      </c>
      <c r="BR78" s="62"/>
      <c r="BS78" s="62"/>
      <c r="BT78" s="62"/>
      <c r="BU78" s="62"/>
      <c r="BV78" s="62"/>
      <c r="BW78" s="62"/>
      <c r="BX78" s="62"/>
      <c r="BY78" s="62"/>
      <c r="BZ78" s="62"/>
      <c r="CA78" s="62"/>
      <c r="CB78" s="62"/>
      <c r="CC78" s="103" t="b">
        <f>IF(CL57=21,12)</f>
        <v>0</v>
      </c>
      <c r="CD78" s="104"/>
      <c r="CE78" s="104"/>
      <c r="CF78" s="104"/>
      <c r="CG78" s="104"/>
      <c r="CH78" s="104"/>
      <c r="CI78" s="115"/>
      <c r="CJ78" s="104"/>
      <c r="CK78" s="116"/>
      <c r="CL78" s="104"/>
      <c r="CM78" s="104"/>
      <c r="CN78" s="104"/>
      <c r="CO78" s="104"/>
      <c r="CP78" s="104"/>
      <c r="CQ78" s="104"/>
      <c r="CR78" s="104"/>
      <c r="CS78" s="104"/>
      <c r="CT78" s="104"/>
      <c r="CU78" s="107" t="b">
        <f>IF(CL57=21,30)</f>
        <v>0</v>
      </c>
      <c r="CV78" s="60"/>
      <c r="CW78" s="60"/>
      <c r="CX78" s="60"/>
      <c r="CY78" s="60"/>
      <c r="CZ78" s="60"/>
      <c r="DA78" s="60"/>
      <c r="DB78" s="60"/>
      <c r="DC78" s="60"/>
      <c r="DD78" s="62"/>
      <c r="DE78" s="62"/>
    </row>
    <row r="79" spans="7:109" ht="21" hidden="1" thickBot="1" x14ac:dyDescent="0.25">
      <c r="G79" s="807"/>
      <c r="H79" s="43"/>
      <c r="I79" s="43"/>
      <c r="J79" s="43"/>
      <c r="K79" s="43"/>
      <c r="L79" s="43"/>
      <c r="M79" s="43"/>
      <c r="N79" s="43"/>
      <c r="O79" s="935"/>
      <c r="BO79" s="69"/>
      <c r="BP79" s="863"/>
      <c r="BQ79" s="79">
        <v>20</v>
      </c>
      <c r="BR79" s="62"/>
      <c r="BS79" s="62"/>
      <c r="BT79" s="62"/>
      <c r="BU79" s="62"/>
      <c r="BV79" s="62"/>
      <c r="BW79" s="62"/>
      <c r="BX79" s="62"/>
      <c r="BY79" s="62"/>
      <c r="CB79" s="120"/>
      <c r="CC79" s="100" t="b">
        <f>IF(CK57=20,12)</f>
        <v>0</v>
      </c>
      <c r="CD79" s="94"/>
      <c r="CE79" s="94"/>
      <c r="CF79" s="94"/>
      <c r="CG79" s="94"/>
      <c r="CH79" s="94"/>
      <c r="CI79" s="121"/>
      <c r="CJ79" s="94"/>
      <c r="CK79" s="112"/>
      <c r="CL79" s="94"/>
      <c r="CM79" s="94"/>
      <c r="CN79" s="94"/>
      <c r="CO79" s="94"/>
      <c r="CP79" s="94"/>
      <c r="CQ79" s="94"/>
      <c r="CR79" s="94"/>
      <c r="CS79" s="86" t="b">
        <f>IF(CK57=20,28)</f>
        <v>0</v>
      </c>
      <c r="CT79" s="120"/>
      <c r="CV79" s="60"/>
      <c r="CW79" s="60"/>
      <c r="CX79" s="60"/>
      <c r="CY79" s="60"/>
      <c r="CZ79" s="60"/>
      <c r="DA79" s="60"/>
      <c r="DB79" s="60"/>
      <c r="DC79" s="60"/>
      <c r="DD79" s="62"/>
      <c r="DE79" s="62"/>
    </row>
    <row r="80" spans="7:109" ht="21" hidden="1" thickBot="1" x14ac:dyDescent="0.25">
      <c r="G80" s="927"/>
      <c r="H80" s="43"/>
      <c r="I80" s="43"/>
      <c r="J80" s="43"/>
      <c r="K80" s="43"/>
      <c r="L80" s="43"/>
      <c r="M80" s="43"/>
      <c r="N80" s="43"/>
      <c r="O80" s="935"/>
      <c r="BO80" s="69"/>
      <c r="BP80" s="863"/>
      <c r="BQ80" s="79">
        <v>19</v>
      </c>
      <c r="BR80" s="62"/>
      <c r="BS80" s="62"/>
      <c r="BT80" s="62"/>
      <c r="BU80" s="62"/>
      <c r="BV80" s="62"/>
      <c r="BW80" s="62"/>
      <c r="BX80" s="62"/>
      <c r="BY80" s="62"/>
      <c r="CA80" s="122"/>
      <c r="CB80" s="122"/>
      <c r="CC80" s="100" t="b">
        <f>IF(CJ57=19,12)</f>
        <v>0</v>
      </c>
      <c r="CD80" s="102"/>
      <c r="CE80" s="102"/>
      <c r="CF80" s="101"/>
      <c r="CG80" s="102"/>
      <c r="CH80" s="102"/>
      <c r="CI80" s="123"/>
      <c r="CJ80" s="102"/>
      <c r="CK80" s="124"/>
      <c r="CL80" s="101"/>
      <c r="CM80" s="102"/>
      <c r="CN80" s="102"/>
      <c r="CO80" s="102"/>
      <c r="CP80" s="94"/>
      <c r="CQ80" s="86" t="b">
        <f>IF(CJ57=19,26)</f>
        <v>0</v>
      </c>
      <c r="CR80" s="125"/>
      <c r="CS80" s="120"/>
      <c r="CU80" s="62"/>
      <c r="CV80" s="62"/>
      <c r="CW80" s="62"/>
      <c r="CX80" s="62"/>
      <c r="CY80" s="62"/>
      <c r="CZ80" s="62"/>
      <c r="DA80" s="62"/>
      <c r="DB80" s="62"/>
      <c r="DC80" s="62"/>
      <c r="DD80" s="62"/>
      <c r="DE80" s="62"/>
    </row>
    <row r="81" spans="7:144" ht="21" hidden="1" thickBot="1" x14ac:dyDescent="0.25">
      <c r="G81" s="927"/>
      <c r="H81" s="43"/>
      <c r="I81" s="43"/>
      <c r="J81" s="43"/>
      <c r="K81" s="43"/>
      <c r="L81" s="43"/>
      <c r="M81" s="43"/>
      <c r="N81" s="43"/>
      <c r="O81" s="935"/>
      <c r="BO81" s="69"/>
      <c r="BP81" s="863"/>
      <c r="BQ81" s="79">
        <v>18</v>
      </c>
      <c r="BR81" s="60"/>
      <c r="BS81" s="60"/>
      <c r="BT81" s="60"/>
      <c r="BU81" s="60"/>
      <c r="BV81" s="60"/>
      <c r="BW81" s="60"/>
      <c r="BX81" s="60"/>
      <c r="BY81" s="60"/>
      <c r="CA81" s="100" t="b">
        <f>IF(CI57=18,10)</f>
        <v>0</v>
      </c>
      <c r="CB81" s="102"/>
      <c r="CC81" s="102"/>
      <c r="CD81" s="102"/>
      <c r="CE81" s="102"/>
      <c r="CF81" s="101"/>
      <c r="CG81" s="102"/>
      <c r="CH81" s="102"/>
      <c r="CI81" s="123"/>
      <c r="CJ81" s="102"/>
      <c r="CK81" s="124"/>
      <c r="CL81" s="101"/>
      <c r="CM81" s="102"/>
      <c r="CN81" s="102"/>
      <c r="CO81" s="102"/>
      <c r="CP81" s="94"/>
      <c r="CQ81" s="86" t="b">
        <f>IF(CI57=18,26)</f>
        <v>0</v>
      </c>
      <c r="CS81" s="62"/>
      <c r="CT81" s="62"/>
      <c r="CU81" s="62"/>
      <c r="CV81" s="62"/>
      <c r="CW81" s="62"/>
      <c r="CX81" s="62"/>
      <c r="CY81" s="62"/>
      <c r="CZ81" s="62"/>
      <c r="DA81" s="62"/>
      <c r="DB81" s="62"/>
      <c r="DC81" s="62"/>
      <c r="DD81" s="62"/>
      <c r="DE81" s="62"/>
    </row>
    <row r="82" spans="7:144" ht="21" hidden="1" thickBot="1" x14ac:dyDescent="0.25">
      <c r="G82" s="927"/>
      <c r="H82" s="43"/>
      <c r="I82" s="43"/>
      <c r="J82" s="43"/>
      <c r="K82" s="43"/>
      <c r="L82" s="43"/>
      <c r="M82" s="43"/>
      <c r="N82" s="43"/>
      <c r="O82" s="935"/>
      <c r="BO82" s="69"/>
      <c r="BP82" s="863"/>
      <c r="BQ82" s="79">
        <v>17</v>
      </c>
      <c r="BR82" s="60"/>
      <c r="BS82" s="60"/>
      <c r="BT82" s="60"/>
      <c r="BU82" s="60"/>
      <c r="BV82" s="60"/>
      <c r="BW82" s="60"/>
      <c r="BX82" s="60"/>
      <c r="BY82" s="100">
        <f>IF(CH57=17,8)</f>
        <v>8</v>
      </c>
      <c r="BZ82" s="101"/>
      <c r="CA82" s="101"/>
      <c r="CB82" s="102"/>
      <c r="CC82" s="102"/>
      <c r="CD82" s="102"/>
      <c r="CE82" s="102"/>
      <c r="CF82" s="102"/>
      <c r="CG82" s="102"/>
      <c r="CH82" s="102"/>
      <c r="CI82" s="123"/>
      <c r="CJ82" s="102"/>
      <c r="CK82" s="124"/>
      <c r="CL82" s="102"/>
      <c r="CM82" s="102"/>
      <c r="CN82" s="102"/>
      <c r="CO82" s="101"/>
      <c r="CP82" s="101"/>
      <c r="CQ82" s="86">
        <f>IF(CH57=17,26)</f>
        <v>26</v>
      </c>
      <c r="CR82" s="62"/>
      <c r="CS82" s="62"/>
      <c r="CT82" s="62"/>
      <c r="CU82" s="62"/>
      <c r="CV82" s="62"/>
      <c r="CW82" s="62"/>
      <c r="CX82" s="62"/>
      <c r="CY82" s="62"/>
      <c r="CZ82" s="62"/>
      <c r="DA82" s="62"/>
      <c r="DB82" s="62"/>
      <c r="DC82" s="62"/>
      <c r="DD82" s="62"/>
      <c r="DE82" s="62"/>
      <c r="DG82" s="1105"/>
      <c r="DH82" s="1105"/>
      <c r="DI82" s="60"/>
      <c r="DJ82" s="60"/>
      <c r="DK82" s="61"/>
      <c r="DL82" s="62"/>
      <c r="DM82" s="62"/>
      <c r="DN82" s="62"/>
      <c r="DO82" s="62"/>
      <c r="DP82" s="62"/>
      <c r="DQ82" s="62"/>
      <c r="DR82" s="62"/>
      <c r="DS82" s="62"/>
      <c r="DT82" s="62"/>
      <c r="DU82" s="62"/>
      <c r="DV82" s="62"/>
      <c r="DW82" s="62"/>
      <c r="DX82" s="62"/>
      <c r="DY82" s="62"/>
      <c r="DZ82" s="62"/>
      <c r="EA82" s="62"/>
      <c r="EB82" s="62"/>
      <c r="EC82" s="62"/>
      <c r="ED82" s="62"/>
      <c r="EE82" s="62"/>
      <c r="EF82" s="62"/>
      <c r="EG82" s="62"/>
      <c r="EH82" s="62"/>
      <c r="EI82" s="62"/>
      <c r="EJ82" s="62"/>
      <c r="EK82" s="62"/>
      <c r="EL82" s="62"/>
      <c r="EM82" s="58"/>
      <c r="EN82" s="58"/>
    </row>
    <row r="83" spans="7:144" ht="21" hidden="1" thickBot="1" x14ac:dyDescent="0.25">
      <c r="G83" s="927"/>
      <c r="H83" s="43"/>
      <c r="I83" s="43"/>
      <c r="J83" s="43"/>
      <c r="K83" s="787">
        <v>5</v>
      </c>
      <c r="L83" s="43"/>
      <c r="M83" s="787">
        <v>51</v>
      </c>
      <c r="N83" s="43"/>
      <c r="O83" s="935"/>
      <c r="BO83" s="69"/>
      <c r="BP83" s="863"/>
      <c r="BQ83" s="79">
        <v>16</v>
      </c>
      <c r="BR83" s="60"/>
      <c r="BS83" s="60"/>
      <c r="BT83" s="60"/>
      <c r="BU83" s="60"/>
      <c r="BV83" s="60"/>
      <c r="BW83" s="128" t="b">
        <f>IF(CG57=16,6)</f>
        <v>0</v>
      </c>
      <c r="BX83" s="129"/>
      <c r="BY83" s="130"/>
      <c r="BZ83" s="130"/>
      <c r="CA83" s="129"/>
      <c r="CB83" s="129"/>
      <c r="CC83" s="129"/>
      <c r="CD83" s="129"/>
      <c r="CE83" s="129"/>
      <c r="CF83" s="129"/>
      <c r="CG83" s="129"/>
      <c r="CH83" s="129"/>
      <c r="CI83" s="131"/>
      <c r="CJ83" s="129"/>
      <c r="CK83" s="132"/>
      <c r="CL83" s="129"/>
      <c r="CM83" s="129"/>
      <c r="CN83" s="130"/>
      <c r="CO83" s="130"/>
      <c r="CP83" s="133"/>
      <c r="CQ83" s="134" t="b">
        <f>IF(CG57=16,26)</f>
        <v>0</v>
      </c>
      <c r="CR83" s="62"/>
      <c r="CS83" s="62"/>
      <c r="CT83" s="62"/>
      <c r="CU83" s="62"/>
      <c r="CV83" s="62"/>
      <c r="CW83" s="62"/>
      <c r="CX83" s="62"/>
      <c r="CY83" s="62"/>
      <c r="CZ83" s="62"/>
      <c r="DA83" s="62"/>
      <c r="DB83" s="62"/>
      <c r="DC83" s="62"/>
      <c r="DD83" s="62"/>
      <c r="DE83" s="62"/>
      <c r="EK83" s="62"/>
      <c r="EL83" s="62"/>
    </row>
    <row r="84" spans="7:144" ht="60" hidden="1" customHeight="1" thickBot="1" x14ac:dyDescent="0.25">
      <c r="G84" s="927"/>
      <c r="H84" s="43"/>
      <c r="I84" s="43"/>
      <c r="J84" s="43"/>
      <c r="K84" s="768" t="s">
        <v>181</v>
      </c>
      <c r="L84" s="768" t="s">
        <v>183</v>
      </c>
      <c r="M84" s="768" t="s">
        <v>182</v>
      </c>
      <c r="N84" s="43"/>
      <c r="O84" s="935"/>
      <c r="BO84" s="69"/>
      <c r="BP84" s="863"/>
      <c r="BQ84" s="79">
        <v>15</v>
      </c>
      <c r="BR84" s="60"/>
      <c r="BS84" s="60"/>
      <c r="BT84" s="60"/>
      <c r="BU84" s="100" t="b">
        <f>IF(CF57=15,4)</f>
        <v>0</v>
      </c>
      <c r="BV84" s="102"/>
      <c r="BW84" s="102"/>
      <c r="BX84" s="102"/>
      <c r="BY84" s="101"/>
      <c r="BZ84" s="102"/>
      <c r="CA84" s="102"/>
      <c r="CB84" s="101"/>
      <c r="CC84" s="102"/>
      <c r="CD84" s="102"/>
      <c r="CE84" s="102"/>
      <c r="CF84" s="102"/>
      <c r="CG84" s="102"/>
      <c r="CH84" s="102"/>
      <c r="CI84" s="123"/>
      <c r="CJ84" s="101"/>
      <c r="CK84" s="124"/>
      <c r="CL84" s="102"/>
      <c r="CM84" s="101"/>
      <c r="CN84" s="102"/>
      <c r="CO84" s="102"/>
      <c r="CP84" s="94"/>
      <c r="CQ84" s="86" t="b">
        <f>IF(CF57=15,26)</f>
        <v>0</v>
      </c>
      <c r="CR84" s="62"/>
      <c r="CS84" s="62"/>
      <c r="CT84" s="62"/>
      <c r="CU84" s="62"/>
      <c r="CV84" s="62"/>
      <c r="CW84" s="62"/>
      <c r="CX84" s="62"/>
      <c r="CY84" s="62"/>
      <c r="CZ84" s="62"/>
      <c r="DA84" s="62"/>
      <c r="DB84" s="62"/>
      <c r="DC84" s="62"/>
      <c r="DD84" s="62"/>
      <c r="DE84" s="62"/>
      <c r="EK84" s="62"/>
      <c r="EL84" s="62"/>
    </row>
    <row r="85" spans="7:144" ht="60" hidden="1" customHeight="1" thickBot="1" x14ac:dyDescent="0.3">
      <c r="G85" s="927"/>
      <c r="H85" s="43"/>
      <c r="I85" s="43"/>
      <c r="J85" s="976" t="s">
        <v>205</v>
      </c>
      <c r="K85" s="778">
        <f>+MIN(J19:K20)</f>
        <v>40.342914775592533</v>
      </c>
      <c r="L85" s="780">
        <f>+$E$20/(BR25)</f>
        <v>40.342914775592533</v>
      </c>
      <c r="M85" s="780">
        <f>+MIN(K25:L26)</f>
        <v>40.342914775592533</v>
      </c>
      <c r="N85" s="43"/>
      <c r="O85" s="935"/>
      <c r="BO85" s="69"/>
      <c r="BP85" s="863"/>
      <c r="BQ85" s="79">
        <v>14</v>
      </c>
      <c r="BR85" s="60"/>
      <c r="BS85" s="100" t="b">
        <f>IF(CE57=14,2)</f>
        <v>0</v>
      </c>
      <c r="BT85" s="102"/>
      <c r="BU85" s="102"/>
      <c r="BV85" s="102"/>
      <c r="BW85" s="101"/>
      <c r="BX85" s="102"/>
      <c r="BY85" s="102"/>
      <c r="BZ85" s="101"/>
      <c r="CA85" s="102"/>
      <c r="CB85" s="102"/>
      <c r="CC85" s="102"/>
      <c r="CD85" s="102"/>
      <c r="CE85" s="102"/>
      <c r="CF85" s="102"/>
      <c r="CG85" s="102"/>
      <c r="CH85" s="102"/>
      <c r="CI85" s="123"/>
      <c r="CJ85" s="101"/>
      <c r="CK85" s="124"/>
      <c r="CL85" s="102"/>
      <c r="CM85" s="101"/>
      <c r="CN85" s="102"/>
      <c r="CO85" s="102"/>
      <c r="CP85" s="94"/>
      <c r="CQ85" s="86" t="b">
        <f>IF(CE57=14,26)</f>
        <v>0</v>
      </c>
      <c r="CR85" s="62"/>
      <c r="CS85" s="62"/>
      <c r="CT85" s="62"/>
      <c r="CU85" s="62"/>
      <c r="CV85" s="62"/>
      <c r="CW85" s="62"/>
      <c r="CX85" s="62"/>
      <c r="CY85" s="62"/>
      <c r="CZ85" s="62"/>
      <c r="DA85" s="62"/>
      <c r="DB85" s="62"/>
      <c r="DC85" s="62"/>
      <c r="DD85" s="62"/>
      <c r="DE85" s="62"/>
      <c r="EK85" s="62"/>
      <c r="EL85" s="62"/>
    </row>
    <row r="86" spans="7:144" ht="21" hidden="1" thickBot="1" x14ac:dyDescent="0.25">
      <c r="G86" s="927"/>
      <c r="H86" s="43"/>
      <c r="I86" s="783">
        <v>6</v>
      </c>
      <c r="J86" s="783">
        <v>61</v>
      </c>
      <c r="K86" s="783">
        <v>62</v>
      </c>
      <c r="L86" s="783">
        <v>63</v>
      </c>
      <c r="M86" s="787">
        <v>64</v>
      </c>
      <c r="N86" s="43"/>
      <c r="O86" s="935"/>
      <c r="BO86" s="69"/>
      <c r="BP86" s="863"/>
      <c r="BQ86" s="79">
        <v>13</v>
      </c>
      <c r="BR86" s="60"/>
      <c r="BS86" s="60"/>
      <c r="BT86" s="60"/>
      <c r="BV86" s="135"/>
      <c r="BW86" s="135"/>
      <c r="BX86" s="74"/>
      <c r="BY86" s="135"/>
      <c r="BZ86" s="103" t="b">
        <f>IF(CD57=13,9)</f>
        <v>0</v>
      </c>
      <c r="CA86" s="106"/>
      <c r="CB86" s="106"/>
      <c r="CC86" s="106"/>
      <c r="CD86" s="106"/>
      <c r="CE86" s="106"/>
      <c r="CF86" s="106"/>
      <c r="CG86" s="106"/>
      <c r="CH86" s="107" t="b">
        <f>IF(CD57=13,17)</f>
        <v>0</v>
      </c>
      <c r="CI86" s="136"/>
      <c r="CJ86" s="74"/>
      <c r="CK86" s="137"/>
      <c r="CL86" s="135"/>
      <c r="CN86" s="60"/>
      <c r="CO86" s="60"/>
      <c r="CP86" s="62"/>
      <c r="CQ86" s="62"/>
      <c r="CR86" s="62"/>
      <c r="CS86" s="62"/>
      <c r="CT86" s="62"/>
      <c r="CU86" s="62"/>
      <c r="CV86" s="62"/>
      <c r="CW86" s="62"/>
      <c r="CX86" s="62"/>
      <c r="CY86" s="62"/>
      <c r="CZ86" s="62"/>
      <c r="DA86" s="62"/>
      <c r="DB86" s="62"/>
      <c r="DC86" s="62"/>
      <c r="DD86" s="62"/>
      <c r="DE86" s="62"/>
      <c r="EK86" s="62"/>
      <c r="EL86" s="62"/>
    </row>
    <row r="87" spans="7:144" ht="21" hidden="1" thickBot="1" x14ac:dyDescent="0.25">
      <c r="G87" s="927"/>
      <c r="H87" s="43"/>
      <c r="I87" s="43"/>
      <c r="J87" s="43"/>
      <c r="K87" s="43"/>
      <c r="L87" s="43"/>
      <c r="M87" s="43"/>
      <c r="N87" s="43"/>
      <c r="O87" s="935"/>
      <c r="BO87" s="69"/>
      <c r="BP87" s="863"/>
      <c r="BQ87" s="79">
        <v>12</v>
      </c>
      <c r="BR87" s="60"/>
      <c r="BT87" s="122"/>
      <c r="BU87" s="122"/>
      <c r="BV87" s="125"/>
      <c r="BW87" s="122"/>
      <c r="BX87" s="100" t="b">
        <f>IF(CC57=12,7)</f>
        <v>0</v>
      </c>
      <c r="BY87" s="102"/>
      <c r="BZ87" s="102"/>
      <c r="CA87" s="102"/>
      <c r="CB87" s="102"/>
      <c r="CC87" s="102"/>
      <c r="CD87" s="102"/>
      <c r="CE87" s="102"/>
      <c r="CF87" s="102"/>
      <c r="CG87" s="102"/>
      <c r="CH87" s="86" t="b">
        <f>IF(CC57=12,17)</f>
        <v>0</v>
      </c>
      <c r="CI87" s="138"/>
      <c r="CJ87" s="125"/>
      <c r="CK87" s="139"/>
      <c r="CL87" s="122"/>
      <c r="CN87" s="60"/>
      <c r="CO87" s="60"/>
      <c r="CP87" s="62"/>
      <c r="CQ87" s="62"/>
      <c r="CR87" s="62"/>
      <c r="CS87" s="62"/>
      <c r="CT87" s="62"/>
      <c r="CU87" s="62"/>
      <c r="CV87" s="62"/>
      <c r="CW87" s="62"/>
      <c r="CX87" s="62"/>
      <c r="CY87" s="62"/>
      <c r="CZ87" s="62"/>
      <c r="DA87" s="62"/>
      <c r="DB87" s="62"/>
      <c r="DC87" s="62"/>
      <c r="DD87" s="62"/>
      <c r="DE87" s="62"/>
      <c r="DG87" s="90"/>
      <c r="DH87" s="90"/>
      <c r="DI87" s="90"/>
      <c r="DJ87" s="90"/>
      <c r="DK87" s="90"/>
      <c r="DL87" s="91"/>
      <c r="DM87" s="90"/>
      <c r="DN87" s="90"/>
      <c r="DO87" s="90"/>
      <c r="DP87" s="90"/>
      <c r="DQ87" s="90"/>
      <c r="DR87" s="90"/>
      <c r="DS87" s="90"/>
      <c r="DT87" s="90"/>
      <c r="DU87" s="90"/>
      <c r="DV87" s="90"/>
      <c r="DW87" s="90"/>
      <c r="DX87" s="90"/>
      <c r="DY87" s="90"/>
      <c r="DZ87" s="90"/>
      <c r="EA87" s="90"/>
      <c r="EB87" s="90"/>
      <c r="EC87" s="90"/>
      <c r="ED87" s="91"/>
      <c r="EE87" s="62"/>
      <c r="EF87" s="62"/>
      <c r="EG87" s="62"/>
      <c r="EH87" s="62"/>
      <c r="EI87" s="62"/>
      <c r="EJ87" s="62"/>
      <c r="EK87" s="62"/>
      <c r="EL87" s="62"/>
    </row>
    <row r="88" spans="7:144" ht="21" hidden="1" thickBot="1" x14ac:dyDescent="0.25">
      <c r="G88" s="927"/>
      <c r="H88" s="43"/>
      <c r="I88" s="43"/>
      <c r="J88" s="43"/>
      <c r="K88" s="43"/>
      <c r="L88" s="43"/>
      <c r="M88" s="43"/>
      <c r="N88" s="43"/>
      <c r="O88" s="935"/>
      <c r="BO88" s="69"/>
      <c r="BP88" s="863"/>
      <c r="BQ88" s="79">
        <v>11</v>
      </c>
      <c r="BS88" s="135"/>
      <c r="BT88" s="74"/>
      <c r="BU88" s="135"/>
      <c r="BV88" s="100" t="b">
        <f>IF(CB57=11,5)</f>
        <v>0</v>
      </c>
      <c r="BW88" s="102"/>
      <c r="BX88" s="102"/>
      <c r="BY88" s="102"/>
      <c r="BZ88" s="102"/>
      <c r="CA88" s="102"/>
      <c r="CB88" s="102"/>
      <c r="CC88" s="102"/>
      <c r="CD88" s="102"/>
      <c r="CE88" s="102"/>
      <c r="CF88" s="102"/>
      <c r="CG88" s="102"/>
      <c r="CH88" s="86" t="b">
        <f>IF(CB57=11,17)</f>
        <v>0</v>
      </c>
      <c r="CI88" s="136"/>
      <c r="CJ88" s="74"/>
      <c r="CK88" s="137"/>
      <c r="CM88" s="60"/>
      <c r="CN88" s="60"/>
      <c r="CO88" s="60"/>
      <c r="CP88" s="62"/>
      <c r="CQ88" s="62"/>
      <c r="CR88" s="62"/>
      <c r="CS88" s="62"/>
      <c r="CT88" s="62"/>
      <c r="CU88" s="62"/>
      <c r="CV88" s="62"/>
      <c r="CW88" s="62"/>
      <c r="CX88" s="62"/>
      <c r="CY88" s="62"/>
      <c r="CZ88" s="62"/>
      <c r="DA88" s="62"/>
      <c r="DB88" s="62"/>
      <c r="DC88" s="62"/>
      <c r="DD88" s="62"/>
      <c r="DE88" s="62"/>
      <c r="DG88" s="90"/>
      <c r="DH88" s="90"/>
      <c r="DI88" s="90"/>
      <c r="DJ88" s="90"/>
      <c r="DK88" s="90"/>
      <c r="DL88" s="91"/>
      <c r="DM88" s="90"/>
      <c r="DN88" s="90"/>
      <c r="DO88" s="90"/>
      <c r="DP88" s="90"/>
      <c r="DQ88" s="90"/>
      <c r="DR88" s="90"/>
      <c r="DS88" s="90"/>
      <c r="DT88" s="90"/>
      <c r="DU88" s="90"/>
      <c r="DV88" s="90"/>
      <c r="DW88" s="90"/>
      <c r="DX88" s="90"/>
      <c r="DY88" s="90"/>
      <c r="DZ88" s="90"/>
      <c r="EA88" s="90"/>
      <c r="EB88" s="90"/>
      <c r="EC88" s="90"/>
      <c r="ED88" s="91"/>
      <c r="EE88" s="62"/>
      <c r="EF88" s="62"/>
      <c r="EG88" s="62"/>
      <c r="EH88" s="62"/>
      <c r="EI88" s="62"/>
      <c r="EJ88" s="62"/>
      <c r="EK88" s="62"/>
      <c r="EL88" s="62"/>
    </row>
    <row r="89" spans="7:144" ht="21" hidden="1" thickBot="1" x14ac:dyDescent="0.25">
      <c r="G89" s="927"/>
      <c r="H89" s="43"/>
      <c r="I89" s="43"/>
      <c r="J89" s="43"/>
      <c r="K89" s="43"/>
      <c r="L89" s="43"/>
      <c r="M89" s="43"/>
      <c r="N89" s="43"/>
      <c r="O89" s="935"/>
      <c r="BO89" s="69"/>
      <c r="BP89" s="863"/>
      <c r="BQ89" s="79">
        <v>10</v>
      </c>
      <c r="BS89" s="135"/>
      <c r="BT89" s="100" t="b">
        <f>IF(CA57=10,3)</f>
        <v>0</v>
      </c>
      <c r="BU89" s="102"/>
      <c r="BV89" s="102"/>
      <c r="BW89" s="102"/>
      <c r="BX89" s="102"/>
      <c r="BY89" s="102"/>
      <c r="BZ89" s="102"/>
      <c r="CA89" s="102"/>
      <c r="CB89" s="102"/>
      <c r="CC89" s="102"/>
      <c r="CD89" s="102"/>
      <c r="CE89" s="102"/>
      <c r="CF89" s="102"/>
      <c r="CG89" s="102"/>
      <c r="CH89" s="86" t="b">
        <f>IF(CA57=10,17)</f>
        <v>0</v>
      </c>
      <c r="CI89" s="136"/>
      <c r="CK89" s="140"/>
      <c r="CL89" s="60"/>
      <c r="CM89" s="60"/>
      <c r="CN89" s="60"/>
      <c r="CO89" s="60"/>
      <c r="CP89" s="62"/>
      <c r="CQ89" s="62"/>
      <c r="CR89" s="62"/>
      <c r="CS89" s="62"/>
      <c r="CT89" s="62"/>
      <c r="CU89" s="62"/>
      <c r="CV89" s="62"/>
      <c r="CW89" s="62"/>
      <c r="CX89" s="62"/>
      <c r="CY89" s="62"/>
      <c r="CZ89" s="62"/>
      <c r="DA89" s="62"/>
      <c r="DB89" s="62"/>
      <c r="DC89" s="62"/>
      <c r="DD89" s="62"/>
      <c r="DE89" s="62"/>
      <c r="EK89" s="62"/>
      <c r="EL89" s="62"/>
    </row>
    <row r="90" spans="7:144" ht="21" hidden="1" thickBot="1" x14ac:dyDescent="0.25">
      <c r="G90" s="927"/>
      <c r="H90" s="43"/>
      <c r="I90" s="43"/>
      <c r="J90" s="43"/>
      <c r="K90" s="43"/>
      <c r="L90" s="43"/>
      <c r="M90" s="43"/>
      <c r="N90" s="43"/>
      <c r="O90" s="935"/>
      <c r="BO90" s="69"/>
      <c r="BP90" s="863"/>
      <c r="BQ90" s="79">
        <v>9</v>
      </c>
      <c r="BR90" s="100" t="b">
        <f>IF(BZ57=9,1)</f>
        <v>0</v>
      </c>
      <c r="BS90" s="102"/>
      <c r="BT90" s="102"/>
      <c r="BU90" s="102"/>
      <c r="BV90" s="102"/>
      <c r="BW90" s="102"/>
      <c r="BX90" s="102"/>
      <c r="BY90" s="102"/>
      <c r="BZ90" s="102"/>
      <c r="CA90" s="102"/>
      <c r="CB90" s="102"/>
      <c r="CC90" s="102"/>
      <c r="CD90" s="102"/>
      <c r="CE90" s="102"/>
      <c r="CF90" s="102"/>
      <c r="CG90" s="102"/>
      <c r="CH90" s="86" t="b">
        <f>IF(BZ57=9,17)</f>
        <v>0</v>
      </c>
      <c r="CI90" s="60"/>
      <c r="CJ90" s="60"/>
      <c r="CK90" s="140"/>
      <c r="CL90" s="60"/>
      <c r="CM90" s="60"/>
      <c r="CN90" s="60"/>
      <c r="CO90" s="60"/>
      <c r="CP90" s="62"/>
      <c r="CQ90" s="62"/>
      <c r="CR90" s="62"/>
      <c r="CS90" s="62"/>
      <c r="CT90" s="62"/>
      <c r="CU90" s="62"/>
      <c r="CV90" s="62"/>
      <c r="CW90" s="62"/>
      <c r="CX90" s="62"/>
      <c r="CY90" s="62"/>
      <c r="CZ90" s="62"/>
      <c r="DA90" s="62"/>
      <c r="DB90" s="62"/>
      <c r="DC90" s="62"/>
      <c r="DD90" s="62"/>
      <c r="DE90" s="62"/>
      <c r="EK90" s="62"/>
      <c r="EL90" s="62"/>
    </row>
    <row r="91" spans="7:144" ht="21" hidden="1" thickBot="1" x14ac:dyDescent="0.25">
      <c r="G91" s="927"/>
      <c r="H91" s="43"/>
      <c r="I91" s="43"/>
      <c r="J91" s="43"/>
      <c r="K91" s="43"/>
      <c r="L91" s="43"/>
      <c r="M91" s="43"/>
      <c r="N91" s="43"/>
      <c r="O91" s="935"/>
      <c r="BO91" s="69"/>
      <c r="BP91" s="863"/>
      <c r="BQ91" s="79">
        <v>8</v>
      </c>
      <c r="BR91" s="100" t="b">
        <f>IF(BY57=8,1)</f>
        <v>0</v>
      </c>
      <c r="BS91" s="102"/>
      <c r="BT91" s="101"/>
      <c r="BU91" s="102"/>
      <c r="BV91" s="102"/>
      <c r="BW91" s="102"/>
      <c r="BX91" s="102"/>
      <c r="BY91" s="102"/>
      <c r="BZ91" s="102"/>
      <c r="CA91" s="102"/>
      <c r="CB91" s="102"/>
      <c r="CC91" s="102"/>
      <c r="CD91" s="101"/>
      <c r="CE91" s="102"/>
      <c r="CF91" s="86" t="b">
        <f>IF(BY57=8,15)</f>
        <v>0</v>
      </c>
      <c r="CG91" s="60"/>
      <c r="CH91" s="60"/>
      <c r="CI91" s="141"/>
      <c r="CJ91" s="60"/>
      <c r="CK91" s="140"/>
      <c r="CL91" s="60"/>
      <c r="CM91" s="60"/>
      <c r="CN91" s="60"/>
      <c r="CO91" s="60"/>
      <c r="CP91" s="62"/>
      <c r="CQ91" s="62"/>
      <c r="CR91" s="62"/>
      <c r="CS91" s="62"/>
      <c r="CT91" s="62"/>
      <c r="CU91" s="62"/>
      <c r="CV91" s="62"/>
      <c r="CW91" s="62"/>
      <c r="CX91" s="62"/>
      <c r="CY91" s="62"/>
      <c r="CZ91" s="62"/>
      <c r="DA91" s="62"/>
      <c r="DB91" s="62"/>
      <c r="DC91" s="62"/>
      <c r="DD91" s="62"/>
      <c r="DE91" s="62"/>
      <c r="EK91" s="62"/>
      <c r="EL91" s="62"/>
    </row>
    <row r="92" spans="7:144" ht="21" hidden="1" thickBot="1" x14ac:dyDescent="0.25">
      <c r="G92" s="927"/>
      <c r="H92" s="43"/>
      <c r="I92" s="43"/>
      <c r="J92" s="43"/>
      <c r="K92" s="43"/>
      <c r="L92" s="43"/>
      <c r="M92" s="43"/>
      <c r="N92" s="43"/>
      <c r="O92" s="935"/>
      <c r="BO92" s="69"/>
      <c r="BP92" s="863"/>
      <c r="BQ92" s="79">
        <v>7</v>
      </c>
      <c r="BR92" s="100" t="b">
        <f>IF(BX57=7,1)</f>
        <v>0</v>
      </c>
      <c r="BS92" s="101"/>
      <c r="BT92" s="102"/>
      <c r="BU92" s="102"/>
      <c r="BV92" s="102"/>
      <c r="BW92" s="102"/>
      <c r="BX92" s="102"/>
      <c r="BY92" s="102"/>
      <c r="BZ92" s="102"/>
      <c r="CA92" s="102"/>
      <c r="CB92" s="101"/>
      <c r="CC92" s="101"/>
      <c r="CD92" s="86" t="b">
        <f>IF(BX57=7,13)</f>
        <v>0</v>
      </c>
      <c r="CE92" s="60"/>
      <c r="CF92" s="60"/>
      <c r="CG92" s="60"/>
      <c r="CH92" s="60"/>
      <c r="CI92" s="141"/>
      <c r="CJ92" s="60"/>
      <c r="CK92" s="140"/>
      <c r="CL92" s="60"/>
      <c r="CM92" s="60"/>
      <c r="CN92" s="60"/>
      <c r="CO92" s="60"/>
      <c r="CP92" s="62"/>
      <c r="CQ92" s="62"/>
      <c r="CR92" s="62"/>
      <c r="CS92" s="62"/>
      <c r="CT92" s="62"/>
      <c r="CU92" s="62"/>
      <c r="CV92" s="62"/>
      <c r="CW92" s="62"/>
      <c r="CX92" s="62"/>
      <c r="CY92" s="62"/>
      <c r="CZ92" s="62"/>
      <c r="DA92" s="62"/>
      <c r="DB92" s="62"/>
      <c r="DC92" s="62"/>
      <c r="DD92" s="62"/>
      <c r="DE92" s="62"/>
      <c r="EK92" s="62"/>
      <c r="EL92" s="62"/>
    </row>
    <row r="93" spans="7:144" ht="21" hidden="1" thickBot="1" x14ac:dyDescent="0.25">
      <c r="G93" s="927"/>
      <c r="H93" s="43"/>
      <c r="I93" s="43"/>
      <c r="J93" s="43"/>
      <c r="K93" s="43"/>
      <c r="L93" s="43"/>
      <c r="M93" s="43"/>
      <c r="N93" s="43"/>
      <c r="O93" s="935"/>
      <c r="BO93" s="69"/>
      <c r="BP93" s="863"/>
      <c r="BQ93" s="79">
        <v>6</v>
      </c>
      <c r="BR93" s="103" t="b">
        <f>IF(BW57=6,1)</f>
        <v>0</v>
      </c>
      <c r="BS93" s="106"/>
      <c r="BT93" s="106"/>
      <c r="BU93" s="106"/>
      <c r="BV93" s="106"/>
      <c r="BW93" s="106"/>
      <c r="BX93" s="106"/>
      <c r="BY93" s="106"/>
      <c r="BZ93" s="106"/>
      <c r="CA93" s="106"/>
      <c r="CB93" s="107" t="b">
        <f>IF(BW57=6,11)</f>
        <v>0</v>
      </c>
      <c r="CC93" s="60"/>
      <c r="CD93" s="60"/>
      <c r="CE93" s="60"/>
      <c r="CF93" s="60"/>
      <c r="CG93" s="60"/>
      <c r="CH93" s="60"/>
      <c r="CI93" s="141"/>
      <c r="CJ93" s="60"/>
      <c r="CK93" s="140"/>
      <c r="CL93" s="60"/>
      <c r="CM93" s="60"/>
      <c r="CN93" s="60"/>
      <c r="CO93" s="60"/>
      <c r="CP93" s="62"/>
      <c r="CQ93" s="62"/>
      <c r="CR93" s="62"/>
      <c r="CS93" s="62"/>
      <c r="CT93" s="62"/>
      <c r="CU93" s="62"/>
      <c r="CV93" s="62"/>
      <c r="CW93" s="62"/>
      <c r="CX93" s="62"/>
      <c r="CY93" s="62"/>
      <c r="CZ93" s="62"/>
      <c r="DA93" s="62"/>
      <c r="DB93" s="62"/>
      <c r="DC93" s="62"/>
      <c r="DD93" s="62"/>
      <c r="DE93" s="62"/>
      <c r="EK93" s="62"/>
      <c r="EL93" s="62"/>
    </row>
    <row r="94" spans="7:144" ht="21" hidden="1" thickBot="1" x14ac:dyDescent="0.25">
      <c r="G94" s="927"/>
      <c r="H94" s="43"/>
      <c r="I94" s="43"/>
      <c r="J94" s="43"/>
      <c r="K94" s="43"/>
      <c r="L94" s="43"/>
      <c r="M94" s="43"/>
      <c r="N94" s="43"/>
      <c r="O94" s="935"/>
      <c r="BO94" s="69"/>
      <c r="BP94" s="863"/>
      <c r="BQ94" s="79">
        <v>5</v>
      </c>
      <c r="BR94" s="103" t="b">
        <f>IF(BV57=5,1)</f>
        <v>0</v>
      </c>
      <c r="BS94" s="105"/>
      <c r="BT94" s="106"/>
      <c r="BU94" s="106"/>
      <c r="BV94" s="106"/>
      <c r="BW94" s="106"/>
      <c r="BX94" s="106"/>
      <c r="BY94" s="105"/>
      <c r="BZ94" s="107" t="b">
        <f>IF(BV57=5,9)</f>
        <v>0</v>
      </c>
      <c r="CA94" s="60"/>
      <c r="CB94" s="60"/>
      <c r="CC94" s="60"/>
      <c r="CD94" s="60"/>
      <c r="CE94" s="60"/>
      <c r="CF94" s="60"/>
      <c r="CG94" s="60"/>
      <c r="CH94" s="60"/>
      <c r="CI94" s="141"/>
      <c r="CJ94" s="60"/>
      <c r="CK94" s="140"/>
      <c r="CL94" s="60"/>
      <c r="CM94" s="60"/>
      <c r="CN94" s="60"/>
      <c r="CO94" s="60"/>
      <c r="CP94" s="62"/>
      <c r="CQ94" s="62"/>
      <c r="CR94" s="62"/>
      <c r="CS94" s="62"/>
      <c r="CT94" s="62"/>
      <c r="CU94" s="62"/>
      <c r="CV94" s="62"/>
      <c r="CW94" s="62"/>
      <c r="CX94" s="62"/>
      <c r="CY94" s="62"/>
      <c r="CZ94" s="62"/>
      <c r="DA94" s="62"/>
      <c r="DB94" s="62"/>
      <c r="DC94" s="62"/>
      <c r="DD94" s="62"/>
      <c r="DE94" s="62"/>
      <c r="EK94" s="62"/>
      <c r="EL94" s="62"/>
    </row>
    <row r="95" spans="7:144" ht="21" hidden="1" thickBot="1" x14ac:dyDescent="0.25">
      <c r="G95" s="927"/>
      <c r="H95" s="43"/>
      <c r="I95" s="43"/>
      <c r="J95" s="43"/>
      <c r="K95" s="43"/>
      <c r="L95" s="43"/>
      <c r="M95" s="43"/>
      <c r="N95" s="43"/>
      <c r="O95" s="935"/>
      <c r="BO95" s="69"/>
      <c r="BP95" s="863"/>
      <c r="BQ95" s="79">
        <v>4</v>
      </c>
      <c r="BR95" s="103" t="b">
        <f>IF(BU57=4,1)</f>
        <v>0</v>
      </c>
      <c r="BS95" s="106"/>
      <c r="BT95" s="106"/>
      <c r="BU95" s="106"/>
      <c r="BV95" s="106"/>
      <c r="BW95" s="106"/>
      <c r="BX95" s="107" t="b">
        <f>IF(BU57=4,7)</f>
        <v>0</v>
      </c>
      <c r="BY95" s="60"/>
      <c r="BZ95" s="142"/>
      <c r="CA95" s="142"/>
      <c r="CB95" s="60"/>
      <c r="CC95" s="142"/>
      <c r="CD95" s="60"/>
      <c r="CE95" s="60"/>
      <c r="CF95" s="60"/>
      <c r="CG95" s="60"/>
      <c r="CH95" s="60"/>
      <c r="CI95" s="141"/>
      <c r="CJ95" s="60"/>
      <c r="CK95" s="140"/>
      <c r="CL95" s="60"/>
      <c r="CM95" s="60"/>
      <c r="CN95" s="60"/>
      <c r="CO95" s="60"/>
      <c r="CP95" s="62"/>
      <c r="CQ95" s="62"/>
      <c r="CR95" s="62"/>
      <c r="CS95" s="62"/>
      <c r="CT95" s="62"/>
      <c r="CU95" s="62"/>
      <c r="CV95" s="62"/>
      <c r="CW95" s="62"/>
      <c r="CX95" s="62"/>
      <c r="CY95" s="62"/>
      <c r="CZ95" s="62"/>
      <c r="DA95" s="62"/>
      <c r="DB95" s="62"/>
      <c r="DC95" s="62"/>
      <c r="DD95" s="62"/>
      <c r="DE95" s="62"/>
      <c r="EK95" s="62"/>
      <c r="EL95" s="62"/>
    </row>
    <row r="96" spans="7:144" ht="21" hidden="1" thickBot="1" x14ac:dyDescent="0.25">
      <c r="G96" s="927"/>
      <c r="H96" s="43"/>
      <c r="I96" s="43"/>
      <c r="J96" s="43"/>
      <c r="K96" s="43"/>
      <c r="L96" s="43"/>
      <c r="M96" s="43"/>
      <c r="N96" s="43"/>
      <c r="O96" s="935"/>
      <c r="BO96" s="69"/>
      <c r="BP96" s="863"/>
      <c r="BQ96" s="79">
        <v>3</v>
      </c>
      <c r="BR96" s="103" t="b">
        <f>IF(BT57=3,1)</f>
        <v>0</v>
      </c>
      <c r="BS96" s="106"/>
      <c r="BT96" s="106"/>
      <c r="BU96" s="106"/>
      <c r="BV96" s="107" t="b">
        <f>IF(BT57=3,5)</f>
        <v>0</v>
      </c>
      <c r="BW96" s="60"/>
      <c r="BX96" s="60"/>
      <c r="BY96" s="60"/>
      <c r="BZ96" s="60"/>
      <c r="CA96" s="60"/>
      <c r="CB96" s="60"/>
      <c r="CC96" s="60"/>
      <c r="CD96" s="60"/>
      <c r="CE96" s="60"/>
      <c r="CF96" s="60"/>
      <c r="CG96" s="60"/>
      <c r="CH96" s="60"/>
      <c r="CI96" s="141"/>
      <c r="CJ96" s="60"/>
      <c r="CK96" s="140"/>
      <c r="CL96" s="60"/>
      <c r="CM96" s="60"/>
      <c r="CN96" s="60"/>
      <c r="CO96" s="60"/>
      <c r="CP96" s="62"/>
      <c r="CQ96" s="62"/>
      <c r="CR96" s="62"/>
      <c r="CS96" s="62"/>
      <c r="CT96" s="62"/>
      <c r="CU96" s="62"/>
      <c r="CV96" s="62"/>
      <c r="CW96" s="62"/>
      <c r="CX96" s="62"/>
      <c r="CY96" s="62"/>
      <c r="CZ96" s="62"/>
      <c r="DA96" s="62"/>
      <c r="DB96" s="62"/>
      <c r="DC96" s="62"/>
      <c r="DD96" s="62"/>
      <c r="DE96" s="62"/>
      <c r="EK96" s="62"/>
      <c r="EL96" s="62"/>
    </row>
    <row r="97" spans="2:142" ht="20" hidden="1" x14ac:dyDescent="0.2">
      <c r="G97" s="927"/>
      <c r="H97" s="43"/>
      <c r="I97" s="43"/>
      <c r="J97" s="43"/>
      <c r="K97" s="43"/>
      <c r="L97" s="43"/>
      <c r="M97" s="43"/>
      <c r="N97" s="43"/>
      <c r="O97" s="935"/>
      <c r="BO97" s="69"/>
      <c r="BP97" s="863"/>
      <c r="BQ97" s="79">
        <v>2</v>
      </c>
      <c r="BR97" s="143" t="b">
        <f>IF(BS57=2,1)</f>
        <v>0</v>
      </c>
      <c r="BS97" s="144"/>
      <c r="BT97" s="145" t="b">
        <f>IF(BS57=2,3)</f>
        <v>0</v>
      </c>
      <c r="BU97" s="60"/>
      <c r="BV97" s="60"/>
      <c r="BW97" s="60"/>
      <c r="BX97" s="60"/>
      <c r="BY97" s="60"/>
      <c r="BZ97" s="60"/>
      <c r="CA97" s="60"/>
      <c r="CB97" s="60"/>
      <c r="CC97" s="60"/>
      <c r="CD97" s="60"/>
      <c r="CE97" s="60"/>
      <c r="CF97" s="60"/>
      <c r="CG97" s="60"/>
      <c r="CH97" s="60"/>
      <c r="CI97" s="141"/>
      <c r="CJ97" s="60"/>
      <c r="CK97" s="140"/>
      <c r="CL97" s="60"/>
      <c r="CM97" s="60"/>
      <c r="CN97" s="60"/>
      <c r="CO97" s="60"/>
      <c r="CP97" s="62"/>
      <c r="CQ97" s="62"/>
      <c r="CR97" s="62"/>
      <c r="CS97" s="62"/>
      <c r="CT97" s="62"/>
      <c r="CU97" s="62"/>
      <c r="CV97" s="62"/>
      <c r="CW97" s="62"/>
      <c r="CX97" s="62"/>
      <c r="CY97" s="62"/>
      <c r="CZ97" s="62"/>
      <c r="DA97" s="62"/>
      <c r="DB97" s="62"/>
      <c r="DC97" s="62"/>
      <c r="DD97" s="62"/>
      <c r="DE97" s="62"/>
      <c r="EK97" s="62"/>
      <c r="EL97" s="62"/>
    </row>
    <row r="98" spans="2:142" ht="21" hidden="1" thickBot="1" x14ac:dyDescent="0.25">
      <c r="G98" s="927"/>
      <c r="H98" s="43"/>
      <c r="I98" s="43"/>
      <c r="J98" s="43"/>
      <c r="K98" s="43"/>
      <c r="L98" s="43"/>
      <c r="M98" s="43"/>
      <c r="N98" s="43"/>
      <c r="O98" s="935"/>
      <c r="BO98" s="69"/>
      <c r="BP98" s="863"/>
      <c r="BQ98" s="146"/>
      <c r="BR98" s="147">
        <f t="shared" ref="BR98:CH98" si="3">SUM(BR63:BR97)</f>
        <v>0</v>
      </c>
      <c r="BS98" s="147">
        <f t="shared" si="3"/>
        <v>0</v>
      </c>
      <c r="BT98" s="147">
        <f t="shared" si="3"/>
        <v>0</v>
      </c>
      <c r="BU98" s="147">
        <f t="shared" si="3"/>
        <v>0</v>
      </c>
      <c r="BV98" s="147">
        <f t="shared" si="3"/>
        <v>0</v>
      </c>
      <c r="BW98" s="147">
        <f t="shared" si="3"/>
        <v>0</v>
      </c>
      <c r="BX98" s="147">
        <f t="shared" si="3"/>
        <v>0</v>
      </c>
      <c r="BY98" s="147">
        <f t="shared" si="3"/>
        <v>8</v>
      </c>
      <c r="BZ98" s="147">
        <f t="shared" si="3"/>
        <v>0</v>
      </c>
      <c r="CA98" s="147">
        <f t="shared" si="3"/>
        <v>0</v>
      </c>
      <c r="CB98" s="147">
        <f t="shared" si="3"/>
        <v>0</v>
      </c>
      <c r="CC98" s="147">
        <f t="shared" si="3"/>
        <v>0</v>
      </c>
      <c r="CD98" s="147">
        <f t="shared" si="3"/>
        <v>0</v>
      </c>
      <c r="CE98" s="147">
        <f t="shared" si="3"/>
        <v>0</v>
      </c>
      <c r="CF98" s="147">
        <f t="shared" si="3"/>
        <v>0</v>
      </c>
      <c r="CG98" s="147">
        <f t="shared" si="3"/>
        <v>0</v>
      </c>
      <c r="CH98" s="148">
        <f t="shared" si="3"/>
        <v>0</v>
      </c>
      <c r="CI98" s="149"/>
      <c r="CJ98" s="150"/>
      <c r="CK98" s="151"/>
      <c r="CL98" s="152">
        <f t="shared" ref="CL98:DB98" si="4">SUM(CL63:CL97)</f>
        <v>0</v>
      </c>
      <c r="CM98" s="147">
        <f t="shared" si="4"/>
        <v>0</v>
      </c>
      <c r="CN98" s="147">
        <f t="shared" si="4"/>
        <v>0</v>
      </c>
      <c r="CO98" s="147">
        <f t="shared" si="4"/>
        <v>0</v>
      </c>
      <c r="CP98" s="147">
        <f t="shared" si="4"/>
        <v>0</v>
      </c>
      <c r="CQ98" s="147">
        <f t="shared" si="4"/>
        <v>26</v>
      </c>
      <c r="CR98" s="147">
        <f t="shared" si="4"/>
        <v>0</v>
      </c>
      <c r="CS98" s="147">
        <f t="shared" si="4"/>
        <v>0</v>
      </c>
      <c r="CT98" s="147">
        <f t="shared" si="4"/>
        <v>0</v>
      </c>
      <c r="CU98" s="147">
        <f t="shared" si="4"/>
        <v>0</v>
      </c>
      <c r="CV98" s="147">
        <f t="shared" si="4"/>
        <v>0</v>
      </c>
      <c r="CW98" s="147">
        <f t="shared" si="4"/>
        <v>0</v>
      </c>
      <c r="CX98" s="147">
        <f t="shared" si="4"/>
        <v>0</v>
      </c>
      <c r="CY98" s="147">
        <f t="shared" si="4"/>
        <v>0</v>
      </c>
      <c r="CZ98" s="147">
        <f t="shared" si="4"/>
        <v>0</v>
      </c>
      <c r="DA98" s="147">
        <f t="shared" si="4"/>
        <v>0</v>
      </c>
      <c r="DB98" s="147">
        <f t="shared" si="4"/>
        <v>0</v>
      </c>
      <c r="DC98" s="62"/>
      <c r="DD98" s="62"/>
      <c r="DE98" s="62"/>
      <c r="EK98" s="62"/>
      <c r="EL98" s="62"/>
    </row>
    <row r="99" spans="2:142" ht="159.75" customHeight="1" thickBot="1" x14ac:dyDescent="0.25">
      <c r="G99" s="927"/>
      <c r="H99" s="43"/>
      <c r="I99" s="43"/>
      <c r="J99" s="43"/>
      <c r="K99" s="43"/>
      <c r="L99" s="43"/>
      <c r="M99" s="43"/>
      <c r="N99" s="43"/>
      <c r="O99" s="935"/>
      <c r="BO99" s="69"/>
      <c r="BP99" s="863"/>
      <c r="BQ99" s="146"/>
      <c r="BR99" s="153"/>
      <c r="BS99" s="153"/>
      <c r="BT99" s="153"/>
      <c r="BU99" s="153"/>
      <c r="BV99" s="153"/>
      <c r="BW99" s="153"/>
      <c r="BX99" s="153"/>
      <c r="BY99" s="153"/>
      <c r="BZ99" s="153"/>
      <c r="CA99" s="153"/>
      <c r="CB99" s="153"/>
      <c r="CC99" s="153"/>
      <c r="CD99" s="153"/>
      <c r="CE99" s="153"/>
      <c r="CF99" s="153"/>
      <c r="CG99" s="153"/>
      <c r="CH99" s="153"/>
      <c r="CI99" s="153"/>
      <c r="CJ99" s="153"/>
      <c r="CK99" s="153"/>
      <c r="CL99" s="154"/>
      <c r="CM99" s="153"/>
      <c r="CN99" s="153"/>
      <c r="CO99" s="153"/>
      <c r="CP99" s="153"/>
      <c r="CQ99" s="153"/>
      <c r="CR99" s="153"/>
      <c r="CS99" s="153"/>
      <c r="CT99" s="153"/>
      <c r="CU99" s="153"/>
      <c r="CV99" s="153"/>
      <c r="CW99" s="153"/>
      <c r="CX99" s="153"/>
      <c r="CY99" s="153"/>
      <c r="CZ99" s="153"/>
      <c r="DA99" s="153"/>
      <c r="DB99" s="153"/>
      <c r="DC99" s="62"/>
      <c r="DD99" s="62"/>
      <c r="DE99" s="62"/>
      <c r="EK99" s="62"/>
      <c r="EL99" s="62"/>
    </row>
    <row r="100" spans="2:142" ht="56" customHeight="1" thickBot="1" x14ac:dyDescent="0.3">
      <c r="G100" s="927"/>
      <c r="H100" s="43"/>
      <c r="I100" s="43"/>
      <c r="J100" s="43"/>
      <c r="K100" s="43"/>
      <c r="L100" s="43"/>
      <c r="M100" s="43"/>
      <c r="N100" s="43"/>
      <c r="O100" s="935"/>
      <c r="BO100" s="69"/>
      <c r="BP100" s="866" t="s">
        <v>112</v>
      </c>
      <c r="BQ100" s="155" t="s">
        <v>109</v>
      </c>
      <c r="BR100" s="593" t="str">
        <f>IF(BR98=1,17,"")</f>
        <v/>
      </c>
      <c r="BS100" s="594" t="str">
        <f>IF(BS98=2,16,"")</f>
        <v/>
      </c>
      <c r="BT100" s="594" t="str">
        <f>IF(BT98=3,15,"")</f>
        <v/>
      </c>
      <c r="BU100" s="594" t="str">
        <f>IF(BU98=4,14,"")</f>
        <v/>
      </c>
      <c r="BV100" s="594" t="str">
        <f>IF(BV98=5,13,"")</f>
        <v/>
      </c>
      <c r="BW100" s="594" t="str">
        <f>IF(BW98=6,12,"")</f>
        <v/>
      </c>
      <c r="BX100" s="594" t="str">
        <f>IF(BX98=7,11,"")</f>
        <v/>
      </c>
      <c r="BY100" s="594">
        <f>IF(BY98=8,10,"")</f>
        <v>10</v>
      </c>
      <c r="BZ100" s="594" t="str">
        <f>IF(BZ98=9,9,"")</f>
        <v/>
      </c>
      <c r="CA100" s="594" t="str">
        <f>IF(CA98=10,8,"")</f>
        <v/>
      </c>
      <c r="CB100" s="594" t="str">
        <f>IF(CB98=11,7,"")</f>
        <v/>
      </c>
      <c r="CC100" s="595" t="str">
        <f>IF(CC98=12,"6  ADS ","")</f>
        <v/>
      </c>
      <c r="CD100" s="594" t="str">
        <f>IF(CD98=13,5,"")</f>
        <v/>
      </c>
      <c r="CE100" s="594" t="str">
        <f>IF(CE98=14,4,"")</f>
        <v/>
      </c>
      <c r="CF100" s="594" t="str">
        <f>IF(CF98=15,3,"")</f>
        <v/>
      </c>
      <c r="CG100" s="594" t="str">
        <f>IF(CG98=16,2,"")</f>
        <v/>
      </c>
      <c r="CH100" s="594" t="str">
        <f>IF(CH98=17,1,"")</f>
        <v/>
      </c>
      <c r="CI100" s="156"/>
      <c r="CJ100" s="157"/>
      <c r="CK100" s="158"/>
      <c r="CL100" s="596" t="str">
        <f>IF(CL98=21,1,"")</f>
        <v/>
      </c>
      <c r="CM100" s="596" t="str">
        <f>IF(CM98=22,2,"")</f>
        <v/>
      </c>
      <c r="CN100" s="596" t="str">
        <f>IF(CN98=23,3,"")</f>
        <v/>
      </c>
      <c r="CO100" s="596" t="str">
        <f>IF(CO98=24,4,"")</f>
        <v/>
      </c>
      <c r="CP100" s="596" t="str">
        <f>IF(CP98=25,5,"")</f>
        <v/>
      </c>
      <c r="CQ100" s="597" t="str">
        <f>IF(CQ98=26,"6  ADS ","")</f>
        <v xml:space="preserve">6  ADS </v>
      </c>
      <c r="CR100" s="596" t="str">
        <f>IF(CR98=27,7,"")</f>
        <v/>
      </c>
      <c r="CS100" s="596" t="str">
        <f>IF(CS98=28,8,"")</f>
        <v/>
      </c>
      <c r="CT100" s="596" t="str">
        <f>IF(CT98=29,9,"")</f>
        <v/>
      </c>
      <c r="CU100" s="596" t="str">
        <f>IF(CU98=30,10,"")</f>
        <v/>
      </c>
      <c r="CV100" s="596" t="str">
        <f>IF(CV98=31,11,"")</f>
        <v/>
      </c>
      <c r="CW100" s="596" t="str">
        <f>IF(CW98=32,12,"")</f>
        <v/>
      </c>
      <c r="CX100" s="596" t="str">
        <f>IF(CX98=33,13,"")</f>
        <v/>
      </c>
      <c r="CY100" s="596" t="str">
        <f>IF(CY98=34,14,"")</f>
        <v/>
      </c>
      <c r="CZ100" s="596" t="str">
        <f>IF(CZ98=35,15,"")</f>
        <v/>
      </c>
      <c r="DA100" s="596" t="str">
        <f>IF(DA98=36,16,"")</f>
        <v/>
      </c>
      <c r="DB100" s="598" t="str">
        <f>IF(DB98=37,17,"")</f>
        <v/>
      </c>
      <c r="DC100" s="281"/>
      <c r="DD100" s="62"/>
      <c r="DE100" s="62"/>
      <c r="EK100" s="62"/>
      <c r="EL100" s="62"/>
    </row>
    <row r="101" spans="2:142" ht="45" customHeight="1" thickBot="1" x14ac:dyDescent="0.3">
      <c r="G101" s="927"/>
      <c r="H101" s="43"/>
      <c r="I101" s="43"/>
      <c r="J101" s="43"/>
      <c r="K101" s="43"/>
      <c r="L101" s="43"/>
      <c r="M101" s="43"/>
      <c r="N101" s="43"/>
      <c r="O101" s="935"/>
      <c r="BN101" s="1055" t="b">
        <f>AND(BP101&gt;=10,$BA$153&gt;=10,$BB$153&gt;=10,$BA$177&gt;=10,$BB$177&gt;=10)</f>
        <v>1</v>
      </c>
      <c r="BO101" s="67" t="str">
        <f>IF(BN101=TRUE,"O K","OVERLOAD")</f>
        <v>O K</v>
      </c>
      <c r="BP101" s="781">
        <f>SUM(I132:M132)</f>
        <v>80.685829551185066</v>
      </c>
      <c r="BQ101" s="631" t="s">
        <v>139</v>
      </c>
      <c r="BR101" s="632">
        <v>-10</v>
      </c>
      <c r="BS101" s="632">
        <v>-9</v>
      </c>
      <c r="BT101" s="632">
        <v>-8</v>
      </c>
      <c r="BU101" s="632">
        <v>-7</v>
      </c>
      <c r="BV101" s="632">
        <v>-6</v>
      </c>
      <c r="BW101" s="632">
        <v>-5</v>
      </c>
      <c r="BX101" s="632">
        <v>-4</v>
      </c>
      <c r="BY101" s="632">
        <v>-3</v>
      </c>
      <c r="BZ101" s="632">
        <v>-2</v>
      </c>
      <c r="CA101" s="632">
        <v>-1</v>
      </c>
      <c r="CB101" s="632">
        <v>0</v>
      </c>
      <c r="CC101" s="632">
        <v>1</v>
      </c>
      <c r="CD101" s="632">
        <v>2</v>
      </c>
      <c r="CE101" s="632">
        <v>3</v>
      </c>
      <c r="CF101" s="632">
        <v>4</v>
      </c>
      <c r="CG101" s="632">
        <v>5</v>
      </c>
      <c r="CH101" s="632">
        <v>6</v>
      </c>
      <c r="CI101" s="632">
        <v>7</v>
      </c>
      <c r="CJ101" s="632">
        <v>8</v>
      </c>
      <c r="CK101" s="632">
        <v>9</v>
      </c>
      <c r="CL101" s="632">
        <v>10</v>
      </c>
      <c r="CM101" s="632">
        <v>11</v>
      </c>
      <c r="CN101" s="632">
        <v>12</v>
      </c>
      <c r="CO101" s="632">
        <v>13</v>
      </c>
      <c r="CP101" s="632">
        <v>14</v>
      </c>
      <c r="CQ101" s="632">
        <v>15</v>
      </c>
      <c r="CR101" s="632">
        <v>16</v>
      </c>
      <c r="CS101" s="632">
        <v>17</v>
      </c>
      <c r="CT101" s="632">
        <v>18</v>
      </c>
      <c r="CU101" s="632">
        <v>19</v>
      </c>
      <c r="CV101" s="632">
        <v>20</v>
      </c>
      <c r="CW101" s="632">
        <v>21</v>
      </c>
      <c r="CX101" s="632">
        <v>22</v>
      </c>
      <c r="CY101" s="632">
        <v>23</v>
      </c>
      <c r="CZ101" s="632">
        <v>24</v>
      </c>
      <c r="DA101" s="632">
        <v>25</v>
      </c>
      <c r="DB101" s="634">
        <v>26</v>
      </c>
      <c r="DC101" s="62"/>
      <c r="DD101" s="62"/>
      <c r="DE101" s="62"/>
      <c r="EK101" s="62"/>
      <c r="EL101" s="62"/>
    </row>
    <row r="102" spans="2:142" ht="64.5" hidden="1" customHeight="1" x14ac:dyDescent="0.2">
      <c r="G102" s="927"/>
      <c r="H102" s="43"/>
      <c r="I102" s="43"/>
      <c r="J102" s="43"/>
      <c r="K102" s="43"/>
      <c r="L102" s="43"/>
      <c r="M102" s="43"/>
      <c r="N102" s="43"/>
      <c r="O102" s="935"/>
      <c r="BN102" s="305"/>
      <c r="BO102" s="119"/>
      <c r="BQ102" s="62"/>
      <c r="BR102" s="182"/>
      <c r="BS102" s="182"/>
      <c r="BT102" s="182"/>
      <c r="BU102" s="182"/>
      <c r="BV102" s="182"/>
      <c r="BW102" s="182"/>
      <c r="BX102" s="182"/>
      <c r="BY102" s="182"/>
      <c r="BZ102" s="182"/>
      <c r="CA102" s="182"/>
      <c r="CB102" s="182"/>
      <c r="CC102" s="182"/>
      <c r="CD102" s="182"/>
      <c r="CE102" s="182"/>
      <c r="CF102" s="182"/>
      <c r="CG102" s="182"/>
      <c r="CH102" s="182"/>
      <c r="CI102" s="182"/>
      <c r="CJ102" s="182"/>
      <c r="CK102" s="182"/>
      <c r="CL102" s="182"/>
      <c r="CM102" s="182"/>
      <c r="CN102" s="182"/>
      <c r="CO102" s="182"/>
      <c r="CP102" s="182"/>
      <c r="CQ102" s="182"/>
      <c r="CR102" s="182"/>
      <c r="CS102" s="182"/>
      <c r="CT102" s="182"/>
      <c r="CU102" s="182"/>
      <c r="CV102" s="182"/>
      <c r="CW102" s="182"/>
      <c r="CX102" s="182"/>
      <c r="CY102" s="182"/>
      <c r="CZ102" s="182"/>
      <c r="DA102" s="182"/>
      <c r="DB102" s="182"/>
      <c r="DC102" s="182"/>
      <c r="DD102" s="62"/>
      <c r="DE102" s="62"/>
    </row>
    <row r="103" spans="2:142" ht="21" hidden="1" customHeight="1" x14ac:dyDescent="0.2">
      <c r="E103" s="300"/>
      <c r="F103" s="300"/>
      <c r="G103" s="927"/>
      <c r="H103" s="43"/>
      <c r="I103" s="43"/>
      <c r="J103" s="43"/>
      <c r="K103" s="43"/>
      <c r="L103" s="43"/>
      <c r="M103" s="43"/>
      <c r="N103" s="43"/>
      <c r="O103" s="935"/>
      <c r="U103" s="97"/>
      <c r="AB103" s="97"/>
      <c r="AC103" s="97"/>
      <c r="AD103" s="97"/>
      <c r="AE103" s="97"/>
      <c r="BN103" s="305"/>
      <c r="BO103" s="119"/>
      <c r="BP103" s="863"/>
      <c r="BQ103" s="62"/>
      <c r="BR103" s="182"/>
      <c r="BS103" s="182"/>
      <c r="BT103" s="182"/>
      <c r="BU103" s="182"/>
      <c r="BV103" s="182"/>
      <c r="BW103" s="182"/>
      <c r="BX103" s="182"/>
      <c r="BY103" s="182"/>
      <c r="BZ103" s="182"/>
      <c r="CA103" s="182"/>
      <c r="CB103" s="182"/>
      <c r="CC103" s="182"/>
      <c r="CD103" s="182"/>
      <c r="CE103" s="182"/>
      <c r="CF103" s="182"/>
      <c r="CG103" s="182"/>
      <c r="CH103" s="182"/>
      <c r="CI103" s="182"/>
      <c r="CJ103" s="182"/>
      <c r="CK103" s="182"/>
      <c r="CL103" s="182"/>
      <c r="CM103" s="182"/>
      <c r="CN103" s="182"/>
      <c r="CO103" s="182"/>
      <c r="CP103" s="182"/>
      <c r="CQ103" s="182"/>
      <c r="CR103" s="182"/>
      <c r="CS103" s="182"/>
      <c r="CT103" s="182"/>
      <c r="CU103" s="182"/>
      <c r="CV103" s="182"/>
      <c r="CW103" s="182"/>
      <c r="CX103" s="182"/>
      <c r="CY103" s="182"/>
      <c r="CZ103" s="182"/>
      <c r="DA103" s="182"/>
      <c r="DB103" s="182"/>
      <c r="DC103" s="182"/>
    </row>
    <row r="104" spans="2:142" ht="21" hidden="1" customHeight="1" x14ac:dyDescent="0.2">
      <c r="E104" s="300"/>
      <c r="F104" s="300"/>
      <c r="G104" s="927"/>
      <c r="H104" s="43"/>
      <c r="I104" s="43"/>
      <c r="J104" s="43"/>
      <c r="K104" s="43"/>
      <c r="L104" s="43"/>
      <c r="M104" s="43"/>
      <c r="N104" s="43"/>
      <c r="O104" s="935"/>
      <c r="U104" s="97"/>
      <c r="AB104" s="97"/>
      <c r="AC104" s="97"/>
      <c r="AD104" s="97"/>
      <c r="AE104" s="97"/>
      <c r="BN104" s="305"/>
      <c r="BO104" s="119"/>
      <c r="BP104" s="863"/>
      <c r="BQ104" s="60"/>
      <c r="BR104" s="60"/>
      <c r="BS104" s="60"/>
      <c r="BT104" s="60"/>
      <c r="BU104" s="60"/>
      <c r="BV104" s="60"/>
      <c r="BW104" s="185"/>
      <c r="BX104" s="185"/>
      <c r="BY104" s="185"/>
      <c r="BZ104" s="185"/>
      <c r="CA104" s="185"/>
      <c r="CB104" s="185"/>
      <c r="CC104" s="185"/>
      <c r="CD104" s="185"/>
      <c r="CE104" s="185"/>
      <c r="CF104" s="185"/>
      <c r="CG104" s="185"/>
      <c r="CH104" s="185"/>
      <c r="CI104" s="185"/>
      <c r="CJ104" s="185"/>
      <c r="CK104" s="62"/>
      <c r="CL104" s="62"/>
      <c r="CM104" s="62"/>
      <c r="CN104" s="62"/>
      <c r="CO104" s="62"/>
      <c r="CP104" s="62"/>
      <c r="CQ104" s="62"/>
      <c r="CR104" s="62"/>
      <c r="CS104" s="62"/>
      <c r="CT104" s="62"/>
      <c r="CU104" s="62"/>
      <c r="CV104" s="62"/>
      <c r="CW104" s="62"/>
      <c r="CX104" s="62"/>
      <c r="CY104" s="62"/>
      <c r="CZ104" s="62"/>
      <c r="DA104" s="62"/>
      <c r="DB104" s="62"/>
      <c r="DC104" s="62"/>
      <c r="DD104" s="62"/>
      <c r="DE104" s="62"/>
    </row>
    <row r="105" spans="2:142" ht="21" hidden="1" customHeight="1" x14ac:dyDescent="0.2">
      <c r="E105" s="300"/>
      <c r="F105" s="300"/>
      <c r="G105" s="927"/>
      <c r="H105" s="43"/>
      <c r="I105" s="43"/>
      <c r="J105" s="43"/>
      <c r="K105" s="43"/>
      <c r="L105" s="43"/>
      <c r="M105" s="43"/>
      <c r="N105" s="43"/>
      <c r="O105" s="935"/>
      <c r="U105" s="97"/>
      <c r="AB105" s="97"/>
      <c r="AC105" s="97"/>
      <c r="AD105" s="97"/>
      <c r="AE105" s="97"/>
      <c r="BN105" s="305"/>
      <c r="BO105" s="119"/>
      <c r="BP105" s="863"/>
      <c r="BQ105" s="109"/>
      <c r="BR105" s="109"/>
      <c r="BS105" s="109"/>
      <c r="BT105" s="109"/>
      <c r="BU105" s="109"/>
      <c r="BV105" s="109"/>
      <c r="BW105" s="186"/>
      <c r="BX105" s="186"/>
      <c r="BY105" s="186"/>
      <c r="BZ105" s="186"/>
      <c r="CA105" s="186"/>
      <c r="CB105" s="186"/>
      <c r="CC105" s="186"/>
      <c r="CD105" s="186"/>
      <c r="CE105" s="186"/>
      <c r="CF105" s="186"/>
      <c r="CG105" s="186"/>
      <c r="CH105" s="186"/>
      <c r="CI105" s="186"/>
      <c r="CJ105" s="186"/>
    </row>
    <row r="106" spans="2:142" ht="21" hidden="1" customHeight="1" x14ac:dyDescent="0.2">
      <c r="E106" s="300"/>
      <c r="F106" s="300"/>
      <c r="G106" s="927"/>
      <c r="H106" s="43"/>
      <c r="I106" s="43"/>
      <c r="J106" s="43"/>
      <c r="K106" s="43"/>
      <c r="L106" s="43"/>
      <c r="M106" s="43"/>
      <c r="N106" s="43"/>
      <c r="O106" s="935"/>
      <c r="U106" s="97"/>
      <c r="AB106" s="97"/>
      <c r="AC106" s="97"/>
      <c r="AD106" s="97"/>
      <c r="AE106" s="97"/>
      <c r="BM106" s="187" t="s">
        <v>53</v>
      </c>
      <c r="BN106" s="305"/>
      <c r="BO106" s="170"/>
      <c r="BP106" s="863"/>
      <c r="BQ106" s="48"/>
      <c r="BT106" s="109"/>
      <c r="BU106" s="109"/>
      <c r="BV106" s="109"/>
      <c r="BW106" s="186"/>
      <c r="BX106" s="186"/>
      <c r="BY106" s="186"/>
      <c r="BZ106" s="186"/>
      <c r="CA106" s="186"/>
      <c r="CB106" s="186"/>
      <c r="CC106" s="186"/>
      <c r="CD106" s="186"/>
      <c r="CE106" s="186"/>
      <c r="CF106" s="186"/>
      <c r="CG106" s="186"/>
      <c r="CH106" s="186"/>
      <c r="CI106" s="186"/>
      <c r="CJ106" s="186"/>
      <c r="CS106" s="48"/>
      <c r="DE106" s="187" t="s">
        <v>52</v>
      </c>
    </row>
    <row r="107" spans="2:142" ht="21" hidden="1" customHeight="1" x14ac:dyDescent="0.2">
      <c r="D107" s="300"/>
      <c r="E107" s="300"/>
      <c r="F107" s="300"/>
      <c r="G107" s="927"/>
      <c r="H107" s="43"/>
      <c r="I107" s="43"/>
      <c r="J107" s="43"/>
      <c r="K107" s="43"/>
      <c r="L107" s="43"/>
      <c r="M107" s="43"/>
      <c r="N107" s="43"/>
      <c r="O107" s="935"/>
      <c r="U107" s="97"/>
      <c r="AB107" s="97"/>
      <c r="AC107" s="97"/>
      <c r="AD107" s="97"/>
      <c r="AE107" s="97"/>
      <c r="BM107" s="187">
        <f>-+BI183</f>
        <v>702.62333617956904</v>
      </c>
      <c r="BN107" s="305"/>
      <c r="BO107" s="170"/>
      <c r="BP107" s="863"/>
      <c r="BQ107" s="48"/>
      <c r="BT107" s="109"/>
      <c r="BU107" s="109"/>
      <c r="BV107" s="109"/>
      <c r="BW107" s="186"/>
      <c r="BX107" s="186"/>
      <c r="BY107" s="186"/>
      <c r="BZ107" s="186"/>
      <c r="CA107" s="186"/>
      <c r="CB107" s="186"/>
      <c r="CC107" s="186"/>
      <c r="CD107" s="186"/>
      <c r="CE107" s="186"/>
      <c r="CF107" s="186"/>
      <c r="CG107" s="186"/>
      <c r="CH107" s="186"/>
      <c r="CI107" s="186"/>
      <c r="CJ107" s="186"/>
      <c r="CQ107" s="195"/>
      <c r="CS107" s="48"/>
      <c r="DE107" s="187">
        <f>+-BI219</f>
        <v>-845.14089592252481</v>
      </c>
    </row>
    <row r="108" spans="2:142" ht="21" hidden="1" customHeight="1" x14ac:dyDescent="0.2">
      <c r="D108" s="300"/>
      <c r="E108" s="300"/>
      <c r="F108" s="300"/>
      <c r="G108" s="927"/>
      <c r="H108" s="43"/>
      <c r="I108" s="43"/>
      <c r="J108" s="43"/>
      <c r="K108" s="43"/>
      <c r="L108" s="43"/>
      <c r="M108" s="43"/>
      <c r="N108" s="43"/>
      <c r="O108" s="935"/>
      <c r="U108" s="97"/>
      <c r="AB108" s="97"/>
      <c r="AC108" s="97"/>
      <c r="AD108" s="97"/>
      <c r="AE108" s="97"/>
      <c r="BN108" s="305"/>
      <c r="BO108" s="119"/>
      <c r="BP108" s="863"/>
      <c r="BQ108" s="109"/>
      <c r="BR108" s="109"/>
      <c r="BS108" s="109"/>
      <c r="BT108" s="109"/>
      <c r="BU108" s="109"/>
      <c r="BV108" s="109"/>
      <c r="BW108" s="186"/>
      <c r="BX108" s="186"/>
      <c r="BY108" s="186"/>
      <c r="BZ108" s="186"/>
      <c r="CA108" s="186"/>
      <c r="CB108" s="186"/>
      <c r="CC108" s="186"/>
      <c r="CD108" s="186"/>
      <c r="CE108" s="186"/>
      <c r="CF108" s="186"/>
      <c r="CG108" s="186"/>
      <c r="CH108" s="186"/>
      <c r="CI108" s="186"/>
      <c r="CJ108" s="186"/>
    </row>
    <row r="109" spans="2:142" ht="21" hidden="1" customHeight="1" x14ac:dyDescent="0.3">
      <c r="B109" s="302"/>
      <c r="C109" s="302"/>
      <c r="D109" s="300"/>
      <c r="E109" s="300"/>
      <c r="F109" s="300"/>
      <c r="G109" s="927"/>
      <c r="H109" s="43"/>
      <c r="I109" s="43"/>
      <c r="J109" s="43"/>
      <c r="K109" s="43"/>
      <c r="L109" s="43"/>
      <c r="M109" s="43"/>
      <c r="N109" s="43"/>
      <c r="O109" s="935"/>
      <c r="U109" s="97"/>
      <c r="AB109" s="97"/>
      <c r="AC109" s="97"/>
      <c r="AD109" s="97"/>
      <c r="AE109" s="97"/>
      <c r="BN109" s="197"/>
      <c r="BO109" s="197"/>
      <c r="BP109" s="197"/>
      <c r="BQ109" s="109"/>
      <c r="BR109" s="109"/>
      <c r="BS109" s="109"/>
      <c r="BT109" s="109"/>
      <c r="BU109" s="109"/>
      <c r="BV109" s="109"/>
      <c r="BW109" s="186"/>
      <c r="BX109" s="186"/>
      <c r="BY109" s="186"/>
      <c r="BZ109" s="186"/>
      <c r="CA109" s="186"/>
      <c r="CB109" s="186"/>
      <c r="CC109" s="186"/>
      <c r="CD109" s="186"/>
      <c r="CE109" s="186"/>
      <c r="CF109" s="186"/>
      <c r="CG109" s="186"/>
      <c r="CH109" s="186"/>
      <c r="CI109" s="186"/>
      <c r="CJ109" s="186"/>
    </row>
    <row r="110" spans="2:142" ht="21" hidden="1" customHeight="1" x14ac:dyDescent="0.3">
      <c r="B110" s="302"/>
      <c r="C110" s="302"/>
      <c r="D110" s="300"/>
      <c r="E110" s="300"/>
      <c r="F110" s="300"/>
      <c r="G110" s="927"/>
      <c r="H110" s="43"/>
      <c r="I110" s="43"/>
      <c r="J110" s="43"/>
      <c r="K110" s="43"/>
      <c r="L110" s="43"/>
      <c r="M110" s="43"/>
      <c r="N110" s="43"/>
      <c r="O110" s="935"/>
      <c r="U110" s="97"/>
      <c r="AB110" s="97"/>
      <c r="AC110" s="97"/>
      <c r="AD110" s="97"/>
      <c r="AE110" s="97"/>
      <c r="BN110" s="197"/>
      <c r="BO110" s="197"/>
      <c r="BP110" s="197"/>
      <c r="BQ110" s="109"/>
      <c r="BR110" s="109"/>
      <c r="BS110" s="109"/>
      <c r="BT110" s="109"/>
      <c r="BU110" s="109"/>
      <c r="BV110" s="109"/>
      <c r="BW110" s="186"/>
      <c r="BX110" s="186"/>
      <c r="BY110" s="186"/>
      <c r="BZ110" s="186"/>
      <c r="CA110" s="186"/>
      <c r="CB110" s="186"/>
      <c r="CC110" s="186"/>
      <c r="CD110" s="186"/>
      <c r="CE110" s="186"/>
      <c r="CF110" s="186"/>
      <c r="CG110" s="186"/>
      <c r="CH110" s="186"/>
      <c r="CI110" s="186"/>
      <c r="CJ110" s="186"/>
    </row>
    <row r="111" spans="2:142" ht="21" hidden="1" customHeight="1" x14ac:dyDescent="0.3">
      <c r="B111" s="304"/>
      <c r="E111" s="300"/>
      <c r="F111" s="300"/>
      <c r="G111" s="927"/>
      <c r="H111" s="43"/>
      <c r="I111" s="43"/>
      <c r="J111" s="43"/>
      <c r="K111" s="43"/>
      <c r="L111" s="43"/>
      <c r="M111" s="43"/>
      <c r="N111" s="43"/>
      <c r="O111" s="935"/>
      <c r="U111" s="97"/>
      <c r="AB111" s="97"/>
      <c r="AC111" s="97"/>
      <c r="AD111" s="97"/>
      <c r="AE111" s="97"/>
      <c r="BN111" s="197"/>
      <c r="BO111" s="197"/>
      <c r="BP111" s="197"/>
      <c r="BQ111" s="109"/>
      <c r="BR111" s="109"/>
      <c r="BS111" s="109"/>
      <c r="BT111" s="109"/>
      <c r="BU111" s="109"/>
      <c r="BV111" s="109"/>
      <c r="BW111" s="186"/>
      <c r="BX111" s="186"/>
      <c r="BY111" s="186"/>
      <c r="BZ111" s="186"/>
      <c r="CA111" s="186"/>
      <c r="CB111" s="186"/>
      <c r="CC111" s="186"/>
      <c r="CD111" s="186"/>
      <c r="CE111" s="186"/>
      <c r="CF111" s="186"/>
      <c r="CG111" s="186"/>
      <c r="CH111" s="186"/>
      <c r="CI111" s="186"/>
      <c r="CJ111" s="186"/>
    </row>
    <row r="112" spans="2:142" ht="21" hidden="1" customHeight="1" x14ac:dyDescent="0.3">
      <c r="B112" s="48"/>
      <c r="C112" s="302"/>
      <c r="D112" s="300"/>
      <c r="E112" s="48"/>
      <c r="G112" s="927"/>
      <c r="H112" s="43"/>
      <c r="I112" s="43"/>
      <c r="J112" s="43"/>
      <c r="K112" s="43"/>
      <c r="L112" s="43"/>
      <c r="M112" s="43"/>
      <c r="N112" s="43"/>
      <c r="O112" s="935"/>
      <c r="U112" s="97"/>
      <c r="AB112" s="97"/>
      <c r="AC112" s="97"/>
      <c r="AD112" s="97"/>
      <c r="AE112" s="97"/>
      <c r="BN112" s="197"/>
      <c r="BO112" s="197"/>
      <c r="BP112" s="197"/>
      <c r="CJ112" s="217"/>
      <c r="CK112" s="217"/>
      <c r="CL112" s="217"/>
      <c r="CM112" s="217"/>
      <c r="CN112" s="217"/>
      <c r="CO112" s="217"/>
    </row>
    <row r="113" spans="2:129" ht="21" hidden="1" customHeight="1" x14ac:dyDescent="0.3">
      <c r="B113" s="302"/>
      <c r="C113" s="302"/>
      <c r="D113" s="300"/>
      <c r="E113" s="300"/>
      <c r="F113" s="300"/>
      <c r="G113" s="927"/>
      <c r="H113" s="43"/>
      <c r="I113" s="43"/>
      <c r="J113" s="43"/>
      <c r="K113" s="43"/>
      <c r="L113" s="43"/>
      <c r="M113" s="43"/>
      <c r="N113" s="43"/>
      <c r="O113" s="935"/>
      <c r="U113" s="97"/>
      <c r="AB113" s="97"/>
      <c r="AC113" s="97"/>
      <c r="AD113" s="97"/>
      <c r="AE113" s="97"/>
      <c r="BN113" s="197"/>
      <c r="BO113" s="197"/>
      <c r="BP113" s="197"/>
    </row>
    <row r="114" spans="2:129" ht="21" hidden="1" customHeight="1" x14ac:dyDescent="0.3">
      <c r="B114" s="12"/>
      <c r="C114" s="302"/>
      <c r="E114" s="12"/>
      <c r="G114" s="927"/>
      <c r="H114" s="43"/>
      <c r="I114" s="43"/>
      <c r="J114" s="43"/>
      <c r="K114" s="43"/>
      <c r="L114" s="43"/>
      <c r="M114" s="43"/>
      <c r="N114" s="43"/>
      <c r="O114" s="935"/>
      <c r="U114" s="97"/>
      <c r="AB114" s="97"/>
      <c r="AC114" s="97"/>
      <c r="AD114" s="97"/>
      <c r="AE114" s="97"/>
      <c r="BF114" s="97"/>
      <c r="BG114" s="97"/>
      <c r="BH114" s="97"/>
      <c r="BI114" s="97"/>
      <c r="BN114" s="197"/>
      <c r="BO114" s="197"/>
      <c r="BP114" s="197"/>
    </row>
    <row r="115" spans="2:129" ht="21" hidden="1" customHeight="1" x14ac:dyDescent="0.3">
      <c r="B115" s="51"/>
      <c r="C115" s="302"/>
      <c r="E115" s="52"/>
      <c r="G115" s="927"/>
      <c r="H115" s="43"/>
      <c r="I115" s="43"/>
      <c r="J115" s="43"/>
      <c r="K115" s="43"/>
      <c r="L115" s="43"/>
      <c r="M115" s="43"/>
      <c r="N115" s="43"/>
      <c r="O115" s="935"/>
      <c r="U115" s="97"/>
      <c r="AB115" s="97"/>
      <c r="AC115" s="97"/>
      <c r="AD115" s="97"/>
      <c r="AE115" s="97"/>
      <c r="BF115" s="97"/>
      <c r="BG115" s="97"/>
      <c r="BH115" s="97"/>
      <c r="BI115" s="97"/>
      <c r="BN115" s="197"/>
      <c r="BO115" s="197"/>
      <c r="BP115" s="197"/>
    </row>
    <row r="116" spans="2:129" ht="21" hidden="1" customHeight="1" x14ac:dyDescent="0.3">
      <c r="B116" s="302"/>
      <c r="C116" s="302"/>
      <c r="D116" s="300"/>
      <c r="E116" s="300"/>
      <c r="F116" s="300"/>
      <c r="G116" s="927"/>
      <c r="H116" s="43"/>
      <c r="I116" s="43"/>
      <c r="J116" s="43"/>
      <c r="K116" s="43"/>
      <c r="L116" s="43"/>
      <c r="M116" s="43"/>
      <c r="N116" s="43"/>
      <c r="O116" s="935"/>
      <c r="U116" s="97"/>
      <c r="AB116" s="97"/>
      <c r="AC116" s="97"/>
      <c r="AD116" s="97"/>
      <c r="AE116" s="97"/>
      <c r="BF116" s="97"/>
      <c r="BG116" s="97"/>
      <c r="BH116" s="97"/>
      <c r="BI116" s="97"/>
      <c r="BN116" s="197"/>
      <c r="BO116" s="197"/>
      <c r="BP116" s="197"/>
    </row>
    <row r="117" spans="2:129" ht="21" hidden="1" customHeight="1" thickBot="1" x14ac:dyDescent="0.35">
      <c r="B117" s="302"/>
      <c r="C117" s="302"/>
      <c r="D117" s="300"/>
      <c r="E117" s="300"/>
      <c r="F117" s="300"/>
      <c r="G117" s="927"/>
      <c r="H117" s="43"/>
      <c r="I117" s="43"/>
      <c r="J117" s="43"/>
      <c r="K117" s="43"/>
      <c r="L117" s="43"/>
      <c r="M117" s="43"/>
      <c r="N117" s="43"/>
      <c r="O117" s="935"/>
      <c r="U117" s="97"/>
      <c r="AB117" s="97"/>
      <c r="AC117" s="97"/>
      <c r="AD117" s="97"/>
      <c r="AE117" s="97"/>
      <c r="BN117" s="197"/>
      <c r="BO117" s="197"/>
      <c r="BP117" s="197"/>
    </row>
    <row r="118" spans="2:129" ht="21" hidden="1" customHeight="1" x14ac:dyDescent="0.3">
      <c r="B118" s="302"/>
      <c r="C118" s="302"/>
      <c r="D118" s="300"/>
      <c r="E118" s="300"/>
      <c r="F118" s="300"/>
      <c r="G118" s="927"/>
      <c r="H118" s="43"/>
      <c r="I118" s="43"/>
      <c r="J118" s="43"/>
      <c r="K118" s="43"/>
      <c r="L118" s="43"/>
      <c r="M118" s="43"/>
      <c r="N118" s="43"/>
      <c r="O118" s="935"/>
      <c r="U118" s="97"/>
      <c r="AB118" s="97"/>
      <c r="AC118" s="97"/>
      <c r="AD118" s="97"/>
      <c r="AE118" s="97"/>
      <c r="BF118" s="109"/>
      <c r="BG118" s="109"/>
      <c r="BH118" s="109"/>
      <c r="BI118" s="109"/>
      <c r="BN118" s="197"/>
      <c r="BO118" s="197"/>
      <c r="BP118" s="197"/>
    </row>
    <row r="119" spans="2:129" ht="21" hidden="1" customHeight="1" x14ac:dyDescent="0.3">
      <c r="B119" s="302"/>
      <c r="C119" s="302"/>
      <c r="D119" s="300"/>
      <c r="E119" s="300"/>
      <c r="F119" s="300"/>
      <c r="G119" s="927"/>
      <c r="H119" s="43"/>
      <c r="I119" s="43"/>
      <c r="J119" s="43"/>
      <c r="K119" s="43"/>
      <c r="L119" s="43"/>
      <c r="M119" s="43"/>
      <c r="N119" s="43"/>
      <c r="O119" s="935"/>
      <c r="U119" s="97"/>
      <c r="AB119" s="97"/>
      <c r="AC119" s="97"/>
      <c r="AD119" s="97"/>
      <c r="AE119" s="97"/>
      <c r="BF119" s="109"/>
      <c r="BG119" s="109"/>
      <c r="BH119" s="109"/>
      <c r="BI119" s="109"/>
      <c r="BN119" s="197"/>
      <c r="BO119" s="197"/>
      <c r="BP119" s="197"/>
      <c r="DF119" s="109"/>
      <c r="DG119" s="109"/>
      <c r="DH119" s="109"/>
      <c r="DI119" s="109"/>
      <c r="DJ119" s="109"/>
      <c r="DK119" s="109"/>
      <c r="DL119" s="186"/>
      <c r="DM119" s="186"/>
      <c r="DN119" s="186"/>
      <c r="DO119" s="186"/>
      <c r="DP119" s="186"/>
      <c r="DQ119" s="186"/>
      <c r="DR119" s="186"/>
      <c r="DS119" s="186"/>
      <c r="DT119" s="186"/>
      <c r="DU119" s="186"/>
      <c r="DV119" s="186"/>
      <c r="DW119" s="186"/>
      <c r="DX119" s="186"/>
      <c r="DY119" s="186"/>
    </row>
    <row r="120" spans="2:129" ht="21" hidden="1" customHeight="1" x14ac:dyDescent="0.3">
      <c r="B120" s="302"/>
      <c r="C120" s="302"/>
      <c r="D120" s="300"/>
      <c r="E120" s="300"/>
      <c r="F120" s="300"/>
      <c r="G120" s="927"/>
      <c r="H120" s="43"/>
      <c r="I120" s="43"/>
      <c r="J120" s="43"/>
      <c r="K120" s="43"/>
      <c r="L120" s="43"/>
      <c r="M120" s="43"/>
      <c r="N120" s="43"/>
      <c r="O120" s="935"/>
      <c r="U120" s="97"/>
      <c r="AB120" s="97"/>
      <c r="AC120" s="97"/>
      <c r="AD120" s="97"/>
      <c r="AE120" s="97"/>
      <c r="BF120" s="109"/>
      <c r="BG120" s="109"/>
      <c r="BH120" s="109"/>
      <c r="BI120" s="109"/>
      <c r="BN120" s="197"/>
      <c r="BO120" s="197"/>
      <c r="BP120" s="197"/>
      <c r="DF120" s="109"/>
      <c r="DG120" s="109"/>
      <c r="DH120" s="109"/>
      <c r="DI120" s="109"/>
      <c r="DJ120" s="109"/>
      <c r="DK120" s="109"/>
      <c r="DL120" s="186"/>
      <c r="DM120" s="186"/>
      <c r="DN120" s="186"/>
      <c r="DO120" s="186"/>
      <c r="DP120" s="186"/>
      <c r="DQ120" s="186"/>
      <c r="DR120" s="186"/>
      <c r="DS120" s="186"/>
      <c r="DT120" s="186"/>
      <c r="DU120" s="186"/>
      <c r="DV120" s="186"/>
      <c r="DW120" s="186"/>
      <c r="DX120" s="186"/>
      <c r="DY120" s="186"/>
    </row>
    <row r="121" spans="2:129" ht="21" hidden="1" customHeight="1" x14ac:dyDescent="0.3">
      <c r="B121" s="302"/>
      <c r="C121" s="302"/>
      <c r="D121" s="300"/>
      <c r="E121" s="300"/>
      <c r="F121" s="300"/>
      <c r="G121" s="927"/>
      <c r="H121" s="43"/>
      <c r="I121" s="43"/>
      <c r="J121" s="43"/>
      <c r="K121" s="43"/>
      <c r="L121" s="43"/>
      <c r="M121" s="43"/>
      <c r="N121" s="43"/>
      <c r="O121" s="935"/>
      <c r="U121" s="97"/>
      <c r="AB121" s="97"/>
      <c r="AC121" s="97"/>
      <c r="AD121" s="97"/>
      <c r="AE121" s="97"/>
      <c r="BF121" s="109"/>
      <c r="BG121" s="109"/>
      <c r="BH121" s="109"/>
      <c r="BI121" s="109"/>
      <c r="BN121" s="197"/>
      <c r="BO121" s="197"/>
      <c r="BP121" s="197"/>
      <c r="DF121" s="109"/>
      <c r="DG121" s="109"/>
      <c r="DH121" s="109"/>
      <c r="DI121" s="109"/>
      <c r="DJ121" s="109"/>
      <c r="DK121" s="109"/>
      <c r="DL121" s="186"/>
      <c r="DM121" s="186"/>
      <c r="DN121" s="186"/>
      <c r="DO121" s="186"/>
      <c r="DP121" s="186"/>
      <c r="DQ121" s="186"/>
      <c r="DR121" s="186"/>
      <c r="DS121" s="186"/>
      <c r="DT121" s="186"/>
      <c r="DU121" s="186"/>
      <c r="DV121" s="186"/>
      <c r="DW121" s="186"/>
      <c r="DX121" s="186"/>
      <c r="DY121" s="186"/>
    </row>
    <row r="122" spans="2:129" ht="21" hidden="1" customHeight="1" x14ac:dyDescent="0.3">
      <c r="B122" s="302"/>
      <c r="C122" s="302"/>
      <c r="D122" s="300"/>
      <c r="E122" s="300"/>
      <c r="F122" s="300"/>
      <c r="G122" s="927"/>
      <c r="H122" s="43"/>
      <c r="I122" s="43"/>
      <c r="J122" s="43"/>
      <c r="K122" s="43"/>
      <c r="L122" s="43"/>
      <c r="M122" s="43"/>
      <c r="N122" s="43"/>
      <c r="O122" s="935"/>
      <c r="U122" s="97"/>
      <c r="AB122" s="97"/>
      <c r="AC122" s="97"/>
      <c r="AD122" s="97"/>
      <c r="AE122" s="97"/>
      <c r="BF122" s="109"/>
      <c r="BG122" s="109"/>
      <c r="BH122" s="109"/>
      <c r="BI122" s="109"/>
      <c r="BN122" s="197"/>
      <c r="BO122" s="197"/>
      <c r="BP122" s="197"/>
      <c r="DF122" s="109"/>
      <c r="DG122" s="109"/>
      <c r="DH122" s="109"/>
      <c r="DI122" s="109"/>
      <c r="DJ122" s="109"/>
      <c r="DK122" s="109"/>
      <c r="DL122" s="186"/>
      <c r="DM122" s="186"/>
      <c r="DN122" s="186"/>
      <c r="DO122" s="186"/>
      <c r="DP122" s="186"/>
      <c r="DQ122" s="186"/>
      <c r="DR122" s="186"/>
      <c r="DS122" s="186"/>
      <c r="DT122" s="186"/>
      <c r="DU122" s="186"/>
      <c r="DV122" s="186"/>
      <c r="DW122" s="186"/>
      <c r="DX122" s="186"/>
      <c r="DY122" s="186"/>
    </row>
    <row r="123" spans="2:129" ht="21" hidden="1" customHeight="1" x14ac:dyDescent="0.3">
      <c r="B123" s="302"/>
      <c r="C123" s="302"/>
      <c r="D123" s="300"/>
      <c r="E123" s="300"/>
      <c r="F123" s="300"/>
      <c r="G123" s="927"/>
      <c r="H123" s="43"/>
      <c r="I123" s="43"/>
      <c r="J123" s="43"/>
      <c r="K123" s="43"/>
      <c r="L123" s="43"/>
      <c r="M123" s="43"/>
      <c r="N123" s="43"/>
      <c r="O123" s="935"/>
      <c r="U123" s="97"/>
      <c r="AB123" s="97"/>
      <c r="AC123" s="97"/>
      <c r="AD123" s="97"/>
      <c r="AE123" s="97"/>
      <c r="BF123" s="119"/>
      <c r="BG123" s="119"/>
      <c r="BH123" s="119"/>
      <c r="BI123" s="119"/>
      <c r="BN123" s="197"/>
      <c r="BO123" s="197"/>
      <c r="BP123" s="197"/>
    </row>
    <row r="124" spans="2:129" ht="50.25" hidden="1" customHeight="1" x14ac:dyDescent="0.3">
      <c r="B124" s="302"/>
      <c r="C124" s="302"/>
      <c r="D124" s="300"/>
      <c r="E124" s="300"/>
      <c r="F124" s="300"/>
      <c r="G124" s="927"/>
      <c r="H124" s="43"/>
      <c r="I124" s="808" t="s">
        <v>192</v>
      </c>
      <c r="J124" s="808" t="s">
        <v>191</v>
      </c>
      <c r="K124" s="774" t="s">
        <v>193</v>
      </c>
      <c r="L124" s="775" t="s">
        <v>194</v>
      </c>
      <c r="M124" s="784" t="s">
        <v>198</v>
      </c>
      <c r="N124" s="43"/>
      <c r="O124" s="935"/>
      <c r="U124" s="97"/>
      <c r="AB124" s="97"/>
      <c r="AC124" s="97"/>
      <c r="AD124" s="97"/>
      <c r="AE124" s="97"/>
      <c r="BF124" s="119"/>
      <c r="BG124" s="119"/>
      <c r="BH124" s="119"/>
      <c r="BI124" s="119"/>
      <c r="BN124" s="197"/>
      <c r="BO124" s="197"/>
      <c r="BP124" s="197"/>
    </row>
    <row r="125" spans="2:129" ht="50.25" hidden="1" customHeight="1" thickBot="1" x14ac:dyDescent="0.35">
      <c r="B125" s="302"/>
      <c r="C125" s="302"/>
      <c r="D125" s="300"/>
      <c r="E125" s="300"/>
      <c r="F125" s="300"/>
      <c r="G125" s="927"/>
      <c r="H125" s="43"/>
      <c r="I125" s="768" t="s">
        <v>185</v>
      </c>
      <c r="J125" s="773" t="s">
        <v>184</v>
      </c>
      <c r="K125" s="772" t="s">
        <v>112</v>
      </c>
      <c r="L125" s="776" t="s">
        <v>112</v>
      </c>
      <c r="M125" s="785" t="s">
        <v>112</v>
      </c>
      <c r="N125" s="43"/>
      <c r="O125" s="935"/>
      <c r="U125" s="97"/>
      <c r="AB125" s="97"/>
      <c r="AC125" s="97"/>
      <c r="AD125" s="97"/>
      <c r="AE125" s="97"/>
      <c r="BF125" s="119"/>
      <c r="BG125" s="119"/>
      <c r="BH125" s="119"/>
      <c r="BI125" s="119"/>
      <c r="BN125" s="197"/>
      <c r="BO125" s="197"/>
      <c r="BP125" s="197"/>
    </row>
    <row r="126" spans="2:129" ht="50.25" hidden="1" customHeight="1" thickBot="1" x14ac:dyDescent="0.35">
      <c r="B126" s="302"/>
      <c r="C126" s="302"/>
      <c r="D126" s="300"/>
      <c r="E126" s="300"/>
      <c r="F126" s="300"/>
      <c r="G126" s="927"/>
      <c r="H126" s="832" t="s">
        <v>205</v>
      </c>
      <c r="I126" s="778">
        <f>+MIN(K31:L32)</f>
        <v>52.235467678086067</v>
      </c>
      <c r="J126" s="778">
        <f>+MIN(J37:K38)</f>
        <v>80.685829551185066</v>
      </c>
      <c r="K126" s="777">
        <f>+MIN(J43:L44)</f>
        <v>80.685829551185066</v>
      </c>
      <c r="L126" s="779">
        <f>+MIN(J49:L50)</f>
        <v>34.908047421508648</v>
      </c>
      <c r="M126" s="786">
        <f>+MIN(J55:L56)</f>
        <v>80.685829551185066</v>
      </c>
      <c r="N126" s="43"/>
      <c r="O126" s="935"/>
      <c r="U126" s="97"/>
      <c r="AB126" s="97"/>
      <c r="AC126" s="97"/>
      <c r="AD126" s="97"/>
      <c r="AE126" s="97"/>
      <c r="BF126" s="119"/>
      <c r="BG126" s="119"/>
      <c r="BH126" s="119"/>
      <c r="BI126" s="119"/>
      <c r="BN126" s="197"/>
      <c r="BO126" s="197"/>
      <c r="BP126" s="197"/>
    </row>
    <row r="127" spans="2:129" ht="20" hidden="1" x14ac:dyDescent="0.3">
      <c r="B127" s="302"/>
      <c r="C127" s="302"/>
      <c r="D127" s="300"/>
      <c r="E127" s="300"/>
      <c r="F127" s="300"/>
      <c r="G127" s="937"/>
      <c r="H127" s="109"/>
      <c r="I127" s="109"/>
      <c r="J127" s="109"/>
      <c r="K127" s="109"/>
      <c r="L127" s="109"/>
      <c r="M127" s="109"/>
      <c r="N127" s="109"/>
      <c r="O127" s="938"/>
      <c r="U127" s="97"/>
      <c r="AB127" s="97"/>
      <c r="AC127" s="97"/>
      <c r="AD127" s="97"/>
      <c r="AE127" s="97"/>
      <c r="BF127" s="119"/>
      <c r="BG127" s="119"/>
      <c r="BH127" s="119"/>
      <c r="BI127" s="119"/>
      <c r="BN127" s="197"/>
      <c r="BO127" s="197"/>
      <c r="BP127" s="197"/>
    </row>
    <row r="128" spans="2:129" ht="30" hidden="1" x14ac:dyDescent="0.3">
      <c r="C128" s="302"/>
      <c r="G128" s="927"/>
      <c r="H128" s="184"/>
      <c r="I128" s="184"/>
      <c r="J128" s="184"/>
      <c r="K128" s="184"/>
      <c r="L128" s="184"/>
      <c r="M128" s="184"/>
      <c r="N128" s="184"/>
      <c r="O128" s="812"/>
      <c r="U128" s="97"/>
      <c r="AB128" s="97"/>
      <c r="AC128" s="97"/>
      <c r="AD128" s="97"/>
      <c r="AE128" s="97"/>
      <c r="BF128" s="119"/>
      <c r="BG128" s="119"/>
      <c r="BH128" s="119"/>
      <c r="BI128" s="119"/>
      <c r="BN128" s="197"/>
      <c r="BO128" s="197"/>
      <c r="BP128" s="197"/>
    </row>
    <row r="129" spans="2:68" ht="20" hidden="1" x14ac:dyDescent="0.3">
      <c r="B129" s="1118"/>
      <c r="C129" s="1118"/>
      <c r="D129" s="1118"/>
      <c r="E129" s="1118"/>
      <c r="G129" s="927"/>
      <c r="H129" s="43"/>
      <c r="I129" s="43"/>
      <c r="J129" s="43"/>
      <c r="K129" s="43"/>
      <c r="L129" s="43"/>
      <c r="M129" s="43"/>
      <c r="N129" s="43"/>
      <c r="O129" s="935"/>
      <c r="U129" s="97"/>
      <c r="AB129" s="97"/>
      <c r="AC129" s="97"/>
      <c r="AD129" s="97"/>
      <c r="AE129" s="97"/>
      <c r="BF129" s="119"/>
      <c r="BG129" s="119"/>
      <c r="BH129" s="119"/>
      <c r="BI129" s="119"/>
      <c r="BN129" s="197"/>
      <c r="BO129" s="197"/>
      <c r="BP129" s="197"/>
    </row>
    <row r="130" spans="2:68" ht="20" hidden="1" x14ac:dyDescent="0.3">
      <c r="B130" s="278"/>
      <c r="C130" s="306"/>
      <c r="D130" s="278"/>
      <c r="E130" s="278"/>
      <c r="F130" s="300"/>
      <c r="G130" s="927"/>
      <c r="H130" s="43"/>
      <c r="I130" s="43"/>
      <c r="J130" s="43"/>
      <c r="K130" s="43"/>
      <c r="L130" s="43"/>
      <c r="M130" s="43"/>
      <c r="N130" s="43"/>
      <c r="O130" s="935"/>
      <c r="U130" s="97"/>
      <c r="AB130" s="97"/>
      <c r="AC130" s="97"/>
      <c r="AD130" s="97"/>
      <c r="AE130" s="97"/>
      <c r="BF130" s="119"/>
      <c r="BG130" s="119"/>
      <c r="BH130" s="119"/>
      <c r="BI130" s="119"/>
      <c r="BN130" s="197"/>
      <c r="BO130" s="197"/>
      <c r="BP130" s="197"/>
    </row>
    <row r="131" spans="2:68" ht="24" hidden="1" x14ac:dyDescent="0.3">
      <c r="B131" s="307"/>
      <c r="C131" s="306"/>
      <c r="D131" s="308"/>
      <c r="E131" s="280"/>
      <c r="F131" s="300"/>
      <c r="G131" s="813"/>
      <c r="H131" s="192"/>
      <c r="I131" s="836">
        <f>COUNTIF(CL98:DB98,"&gt;0")</f>
        <v>1</v>
      </c>
      <c r="J131" s="836">
        <f>COUNTIF(BR98:CH98,"&gt;0")</f>
        <v>1</v>
      </c>
      <c r="K131" s="836" t="b">
        <f>AND(IF(SUM(BR100:CB100)&gt;0,1,0),IF(CQ100="6  ADS ",1,0))</f>
        <v>1</v>
      </c>
      <c r="L131" s="836" t="b">
        <f>AND(IF(SUM(CR100:DB100)&gt;0,1,0),IF(CC100="6  ADS ",1,0))</f>
        <v>0</v>
      </c>
      <c r="M131" s="836" t="b">
        <f>AND(IF(CQ100="6  ADS ",1,0),IF(CC100="6  ADS ",1,0))</f>
        <v>0</v>
      </c>
      <c r="N131" s="192"/>
      <c r="O131" s="814"/>
      <c r="U131" s="97"/>
      <c r="AB131" s="97"/>
      <c r="AC131" s="97"/>
      <c r="AD131" s="97"/>
      <c r="AE131" s="97"/>
      <c r="BF131" s="119"/>
      <c r="BG131" s="119"/>
      <c r="BH131" s="119"/>
      <c r="BI131" s="119"/>
      <c r="BN131" s="197"/>
      <c r="BO131" s="197"/>
      <c r="BP131" s="197"/>
    </row>
    <row r="132" spans="2:68" ht="25" hidden="1" thickBot="1" x14ac:dyDescent="0.35">
      <c r="B132" s="306"/>
      <c r="C132" s="306"/>
      <c r="D132" s="69"/>
      <c r="E132" s="69"/>
      <c r="F132" s="300"/>
      <c r="G132" s="815"/>
      <c r="H132" s="816"/>
      <c r="I132" s="837">
        <f>IF(I131=2,I126,0)</f>
        <v>0</v>
      </c>
      <c r="J132" s="837">
        <f>IF(J131=2,J126,0)</f>
        <v>0</v>
      </c>
      <c r="K132" s="837">
        <f t="shared" ref="K132:M132" si="5">IF(K131=TRUE,K126,0)</f>
        <v>80.685829551185066</v>
      </c>
      <c r="L132" s="837">
        <f t="shared" si="5"/>
        <v>0</v>
      </c>
      <c r="M132" s="837">
        <f t="shared" si="5"/>
        <v>0</v>
      </c>
      <c r="N132" s="816"/>
      <c r="O132" s="817"/>
      <c r="U132" s="97"/>
      <c r="AB132" s="97"/>
      <c r="AC132" s="97"/>
      <c r="AD132" s="97"/>
      <c r="AE132" s="97"/>
      <c r="BF132" s="119"/>
      <c r="BG132" s="119"/>
      <c r="BH132" s="119"/>
      <c r="BI132" s="119"/>
      <c r="BN132" s="197"/>
      <c r="BO132" s="197"/>
      <c r="BP132" s="197"/>
    </row>
    <row r="133" spans="2:68" ht="20" hidden="1" x14ac:dyDescent="0.3">
      <c r="B133" s="278"/>
      <c r="C133" s="306"/>
      <c r="D133" s="278"/>
      <c r="E133" s="13"/>
      <c r="F133" s="300"/>
      <c r="G133" s="217"/>
      <c r="U133" s="97"/>
      <c r="AB133" s="97"/>
      <c r="AC133" s="97"/>
      <c r="AD133" s="97"/>
      <c r="AE133" s="97"/>
      <c r="BF133" s="119"/>
      <c r="BG133" s="119"/>
      <c r="BH133" s="119"/>
      <c r="BI133" s="119"/>
      <c r="BN133" s="197"/>
      <c r="BO133" s="197"/>
      <c r="BP133" s="197"/>
    </row>
    <row r="134" spans="2:68" ht="20" hidden="1" x14ac:dyDescent="0.3">
      <c r="B134" s="302"/>
      <c r="C134" s="302"/>
      <c r="F134" s="300"/>
      <c r="G134" s="217"/>
      <c r="U134" s="97"/>
      <c r="AB134" s="97"/>
      <c r="AC134" s="97"/>
      <c r="AD134" s="97"/>
      <c r="AE134" s="97"/>
      <c r="BG134" s="119"/>
      <c r="BH134" s="119"/>
      <c r="BI134" s="119"/>
      <c r="BN134" s="197"/>
      <c r="BO134" s="197"/>
      <c r="BP134" s="197"/>
    </row>
    <row r="135" spans="2:68" ht="20" hidden="1" x14ac:dyDescent="0.3">
      <c r="B135" s="302"/>
      <c r="C135" s="302"/>
      <c r="G135" s="217"/>
      <c r="U135" s="97"/>
      <c r="AB135" s="97"/>
      <c r="AC135" s="97"/>
      <c r="AD135" s="97"/>
      <c r="AE135" s="97"/>
      <c r="BF135" s="119"/>
      <c r="BG135" s="119"/>
      <c r="BH135" s="119"/>
      <c r="BI135" s="119"/>
      <c r="BN135" s="197"/>
      <c r="BO135" s="197"/>
      <c r="BP135" s="197"/>
    </row>
    <row r="136" spans="2:68" ht="20" hidden="1" x14ac:dyDescent="0.3">
      <c r="B136" s="302"/>
      <c r="C136" s="302"/>
      <c r="G136" s="217"/>
      <c r="U136" s="97"/>
      <c r="AB136" s="97"/>
      <c r="AC136" s="97"/>
      <c r="AD136" s="97"/>
      <c r="AE136" s="97"/>
      <c r="BG136" s="119"/>
      <c r="BH136" s="119"/>
      <c r="BI136" s="119"/>
      <c r="BN136" s="197"/>
      <c r="BO136" s="197"/>
      <c r="BP136" s="197"/>
    </row>
    <row r="137" spans="2:68" ht="20" hidden="1" x14ac:dyDescent="0.3">
      <c r="C137" s="97"/>
      <c r="G137" s="217"/>
      <c r="U137" s="97"/>
      <c r="AB137" s="97"/>
      <c r="AC137" s="97"/>
      <c r="AD137" s="97"/>
      <c r="AE137" s="97"/>
      <c r="BG137" s="119"/>
      <c r="BH137" s="119"/>
      <c r="BI137" s="119"/>
      <c r="BN137" s="197"/>
      <c r="BO137" s="197"/>
      <c r="BP137" s="197"/>
    </row>
    <row r="138" spans="2:68" ht="20" hidden="1" x14ac:dyDescent="0.3">
      <c r="B138" s="309"/>
      <c r="C138" s="309"/>
      <c r="D138" s="310"/>
      <c r="E138" s="310"/>
      <c r="F138" s="310"/>
      <c r="G138" s="194"/>
      <c r="BF138" s="119"/>
      <c r="BG138" s="119"/>
      <c r="BH138" s="119"/>
      <c r="BI138" s="119"/>
      <c r="BN138" s="197"/>
      <c r="BO138" s="197"/>
      <c r="BP138" s="197"/>
    </row>
    <row r="139" spans="2:68" ht="20" hidden="1" x14ac:dyDescent="0.3">
      <c r="G139" s="43"/>
      <c r="BG139" s="119"/>
      <c r="BH139" s="119"/>
      <c r="BI139" s="119"/>
      <c r="BN139" s="197"/>
      <c r="BO139" s="197"/>
      <c r="BP139" s="197"/>
    </row>
    <row r="140" spans="2:68" ht="20" hidden="1" x14ac:dyDescent="0.3">
      <c r="B140"/>
      <c r="G140" s="43"/>
      <c r="BF140" s="119"/>
      <c r="BG140" s="119"/>
      <c r="BH140" s="119"/>
      <c r="BI140" s="119"/>
      <c r="BN140" s="197"/>
      <c r="BO140" s="197"/>
      <c r="BP140" s="197"/>
    </row>
    <row r="141" spans="2:68" ht="20" hidden="1" x14ac:dyDescent="0.3">
      <c r="B141" s="309"/>
      <c r="C141" s="309"/>
      <c r="D141" s="310"/>
      <c r="E141" s="310"/>
      <c r="F141" s="310"/>
      <c r="G141" s="194"/>
      <c r="BF141" s="119"/>
      <c r="BG141" s="119"/>
      <c r="BH141" s="119"/>
      <c r="BI141" s="119"/>
      <c r="BN141" s="197"/>
      <c r="BO141" s="197"/>
      <c r="BP141" s="197"/>
    </row>
    <row r="142" spans="2:68" ht="20" hidden="1" x14ac:dyDescent="0.3">
      <c r="B142" s="309"/>
      <c r="C142" s="309"/>
      <c r="D142" s="310"/>
      <c r="E142" s="310"/>
      <c r="F142" s="310"/>
      <c r="G142" s="194"/>
      <c r="BF142" s="119"/>
      <c r="BG142" s="119"/>
      <c r="BH142" s="119"/>
      <c r="BI142" s="119"/>
      <c r="BN142" s="197"/>
      <c r="BO142" s="197"/>
      <c r="BP142" s="197"/>
    </row>
    <row r="143" spans="2:68" ht="21" hidden="1" thickBot="1" x14ac:dyDescent="0.35">
      <c r="B143" s="309"/>
      <c r="C143" s="309"/>
      <c r="D143" s="310"/>
      <c r="E143" s="310"/>
      <c r="F143" s="310"/>
      <c r="G143" s="194"/>
      <c r="BF143" s="119"/>
      <c r="BG143" s="119"/>
      <c r="BH143" s="119"/>
      <c r="BI143" s="119"/>
      <c r="BN143" s="197"/>
      <c r="BO143" s="197"/>
      <c r="BP143" s="197"/>
    </row>
    <row r="144" spans="2:68" ht="46.5" customHeight="1" thickBot="1" x14ac:dyDescent="0.35">
      <c r="B144" s="311"/>
      <c r="D144" s="312" t="str">
        <f>IF(BM107&gt;0," ","change the angle of frame or of cabinets")</f>
        <v xml:space="preserve"> </v>
      </c>
      <c r="E144" s="191"/>
      <c r="F144" s="191"/>
      <c r="G144" s="191"/>
      <c r="BF144" s="119"/>
      <c r="BG144" s="119"/>
      <c r="BH144" s="119"/>
      <c r="BI144" s="119"/>
      <c r="BN144" s="197"/>
      <c r="BO144" s="197"/>
      <c r="BP144" s="197"/>
    </row>
    <row r="145" spans="2:88" ht="46.5" customHeight="1" thickBot="1" x14ac:dyDescent="0.35">
      <c r="B145" s="1113" t="s">
        <v>105</v>
      </c>
      <c r="D145" s="312" t="str">
        <f>IF(DE107&lt;0," ","change the angle of frame or of cabinets")</f>
        <v xml:space="preserve"> </v>
      </c>
      <c r="E145" s="191"/>
      <c r="F145" s="191"/>
      <c r="G145" s="191"/>
      <c r="V145" s="313"/>
      <c r="W145" s="313"/>
      <c r="X145" s="313"/>
      <c r="Y145" s="313"/>
      <c r="Z145" s="313"/>
      <c r="AA145" s="313"/>
      <c r="AF145" s="304"/>
      <c r="AG145" s="304"/>
      <c r="AH145" s="304"/>
      <c r="AI145" s="304"/>
      <c r="AJ145" s="304"/>
      <c r="AK145" s="304"/>
      <c r="AL145" s="304"/>
      <c r="AM145" s="304"/>
      <c r="AN145" s="304"/>
      <c r="AO145" s="304"/>
      <c r="AP145" s="304"/>
      <c r="AQ145" s="304"/>
      <c r="AR145" s="304"/>
      <c r="AS145" s="304"/>
      <c r="AT145" s="304"/>
      <c r="AU145" s="304"/>
      <c r="AV145" s="304"/>
      <c r="AW145" s="304"/>
      <c r="AX145" s="304"/>
      <c r="AY145" s="304"/>
      <c r="AZ145" s="304"/>
      <c r="BA145" s="304"/>
      <c r="BB145" s="304"/>
      <c r="BC145" s="126"/>
      <c r="BF145" s="119"/>
      <c r="BG145" s="119"/>
      <c r="BH145" s="119"/>
      <c r="BI145" s="119"/>
      <c r="BN145" s="197"/>
      <c r="BO145" s="197"/>
      <c r="BP145" s="197"/>
    </row>
    <row r="146" spans="2:88" ht="46.5" customHeight="1" thickBot="1" x14ac:dyDescent="0.25">
      <c r="B146" s="1114"/>
      <c r="C146" s="196"/>
      <c r="D146" s="312" t="str">
        <f>IF(BM107&gt;(+COS(($B$147*-1)*3.14159265358979/180)*451.5)," ","USE EXBAR AR AT THE FRONT")</f>
        <v xml:space="preserve"> </v>
      </c>
      <c r="E146" s="191"/>
      <c r="F146" s="191"/>
      <c r="G146" s="191"/>
      <c r="BF146" s="119"/>
      <c r="BG146" s="119"/>
      <c r="BH146" s="119"/>
      <c r="BI146" s="119"/>
    </row>
    <row r="147" spans="2:88" ht="46.5" customHeight="1" thickBot="1" x14ac:dyDescent="0.3">
      <c r="B147" s="2">
        <v>1</v>
      </c>
      <c r="C147" s="196"/>
      <c r="D147" s="282" t="str">
        <f>IF(DE107&lt;-(+COS(($B$147*-1)*3.14159265358979/180)*365.5)," ","USE EXBAR AR AT THE BACK")</f>
        <v xml:space="preserve"> </v>
      </c>
      <c r="E147" s="191"/>
      <c r="F147" s="191"/>
      <c r="G147" s="191"/>
      <c r="AK147" s="676" t="s">
        <v>128</v>
      </c>
      <c r="AL147" s="677"/>
      <c r="AM147" s="677"/>
      <c r="AN147" s="677"/>
      <c r="AO147" s="678" t="s">
        <v>132</v>
      </c>
      <c r="AP147" s="639"/>
      <c r="BF147" s="119"/>
      <c r="BG147" s="119"/>
      <c r="BH147" s="119"/>
      <c r="BI147" s="119"/>
    </row>
    <row r="148" spans="2:88" ht="20.25" customHeight="1" thickBot="1" x14ac:dyDescent="0.3">
      <c r="AK148" s="679" t="s">
        <v>129</v>
      </c>
      <c r="AL148" s="676" t="s">
        <v>130</v>
      </c>
      <c r="AM148" s="676" t="s">
        <v>131</v>
      </c>
      <c r="AN148" s="680" t="s">
        <v>135</v>
      </c>
      <c r="AO148" s="977" t="s">
        <v>133</v>
      </c>
      <c r="AP148" s="639"/>
      <c r="BF148" s="119"/>
      <c r="BG148" s="119"/>
      <c r="BH148" s="119"/>
      <c r="BI148" s="119"/>
    </row>
    <row r="149" spans="2:88" ht="63.75" customHeight="1" thickBot="1" x14ac:dyDescent="0.3">
      <c r="B149" s="314" t="s">
        <v>156</v>
      </c>
      <c r="C149" s="315"/>
      <c r="D149" s="26"/>
      <c r="E149" s="26"/>
      <c r="F149" s="26"/>
      <c r="G149" s="26"/>
      <c r="T149" s="170"/>
      <c r="AK149" s="679">
        <v>6.8623010000000004</v>
      </c>
      <c r="AL149" s="676">
        <f>+$B$147-AK149</f>
        <v>-5.8623010000000004</v>
      </c>
      <c r="AM149" s="682">
        <f>COS(AL149*3.14159265358979/180)</f>
        <v>0.99477023637316297</v>
      </c>
      <c r="AN149" s="683">
        <f>+AM149*378.71303</f>
        <v>376.73245037069677</v>
      </c>
      <c r="AO149" s="978">
        <f>+((AO153*(AQ153-31))+(AN149*31)+(AO171*31))/(AQ153+31)</f>
        <v>279.89458857326326</v>
      </c>
      <c r="AP149" s="1033" t="s">
        <v>299</v>
      </c>
      <c r="BF149" s="119"/>
      <c r="BG149" s="119"/>
      <c r="BH149" s="119"/>
      <c r="BI149" s="119"/>
    </row>
    <row r="150" spans="2:88" ht="30.75" customHeight="1" thickBot="1" x14ac:dyDescent="0.3">
      <c r="B150" s="18">
        <v>1</v>
      </c>
      <c r="C150" s="199"/>
      <c r="D150" s="316" t="s">
        <v>98</v>
      </c>
      <c r="E150" s="277"/>
      <c r="F150" s="277"/>
      <c r="G150" s="277"/>
      <c r="H150" s="283" t="s">
        <v>76</v>
      </c>
      <c r="I150" s="283" t="s">
        <v>77</v>
      </c>
      <c r="J150" s="283" t="s">
        <v>78</v>
      </c>
      <c r="K150"/>
      <c r="L150"/>
      <c r="M150"/>
      <c r="N150"/>
      <c r="O150"/>
      <c r="P150" s="283" t="s">
        <v>79</v>
      </c>
      <c r="Q150" s="283" t="s">
        <v>80</v>
      </c>
      <c r="R150" s="277"/>
      <c r="S150" s="283" t="s">
        <v>81</v>
      </c>
      <c r="T150" s="317"/>
      <c r="W150" s="1117" t="s">
        <v>82</v>
      </c>
      <c r="X150" s="1117"/>
      <c r="Y150" s="1117"/>
      <c r="Z150" s="1117"/>
      <c r="AA150" s="1117"/>
      <c r="AN150" s="48" t="s">
        <v>150</v>
      </c>
      <c r="AY150" s="318"/>
      <c r="AZ150" s="318"/>
      <c r="BA150" s="1115" t="s">
        <v>46</v>
      </c>
      <c r="BB150" s="1116"/>
      <c r="BF150" s="119"/>
      <c r="BG150" s="119"/>
      <c r="BH150" s="119"/>
      <c r="BI150" s="119"/>
    </row>
    <row r="151" spans="2:88" ht="65.25" hidden="1" customHeight="1" thickBot="1" x14ac:dyDescent="0.25">
      <c r="C151" s="319"/>
      <c r="D151" s="320" t="s">
        <v>13</v>
      </c>
      <c r="H151" s="288" t="s">
        <v>4</v>
      </c>
      <c r="I151" s="288" t="s">
        <v>1</v>
      </c>
      <c r="J151" s="292" t="s">
        <v>65</v>
      </c>
      <c r="K151" s="275" t="s">
        <v>2</v>
      </c>
      <c r="L151" s="275" t="s">
        <v>3</v>
      </c>
      <c r="M151" s="275" t="s">
        <v>8</v>
      </c>
      <c r="N151" s="275" t="s">
        <v>5</v>
      </c>
      <c r="O151" s="275" t="s">
        <v>6</v>
      </c>
      <c r="P151" s="275" t="s">
        <v>7</v>
      </c>
      <c r="Q151" s="275" t="s">
        <v>9</v>
      </c>
      <c r="R151" s="288" t="s">
        <v>10</v>
      </c>
      <c r="S151" s="275" t="s">
        <v>11</v>
      </c>
      <c r="T151" s="321" t="s">
        <v>12</v>
      </c>
      <c r="W151" s="288" t="s">
        <v>100</v>
      </c>
      <c r="X151" s="275" t="s">
        <v>83</v>
      </c>
      <c r="Y151" s="288" t="s">
        <v>99</v>
      </c>
      <c r="Z151" s="322" t="s">
        <v>84</v>
      </c>
      <c r="AA151" s="322" t="s">
        <v>85</v>
      </c>
      <c r="AC151" s="275" t="s">
        <v>88</v>
      </c>
      <c r="AD151" s="275"/>
      <c r="AE151" s="275"/>
      <c r="AF151" s="323"/>
      <c r="AG151" s="323"/>
      <c r="AH151" s="323"/>
      <c r="AI151" s="323"/>
      <c r="AJ151" s="323"/>
      <c r="AK151" s="323"/>
      <c r="AL151" s="323"/>
      <c r="AM151" s="323"/>
      <c r="AN151" s="323"/>
      <c r="AO151" s="323" t="s">
        <v>247</v>
      </c>
      <c r="AP151" s="960" t="s">
        <v>242</v>
      </c>
      <c r="AQ151" s="323" t="s">
        <v>247</v>
      </c>
      <c r="AR151" s="323"/>
      <c r="AS151" s="323"/>
      <c r="AT151" s="323" t="s">
        <v>247</v>
      </c>
      <c r="AU151" s="323"/>
      <c r="AV151" s="323"/>
      <c r="AW151" s="323"/>
      <c r="AX151" s="318"/>
      <c r="AY151" s="318"/>
      <c r="AZ151" s="318"/>
      <c r="BA151" s="323"/>
      <c r="BB151" s="323"/>
      <c r="BC151" s="212"/>
      <c r="BF151" s="119"/>
      <c r="BG151" s="119"/>
      <c r="BH151" s="119"/>
      <c r="BI151" s="119"/>
    </row>
    <row r="152" spans="2:88" ht="36" customHeight="1" thickBot="1" x14ac:dyDescent="0.25">
      <c r="B152" s="324"/>
      <c r="C152" s="325"/>
      <c r="D152" s="285" t="s">
        <v>20</v>
      </c>
      <c r="E152" s="277"/>
      <c r="F152" s="277"/>
      <c r="G152" s="221"/>
      <c r="H152" s="288"/>
      <c r="I152" s="288"/>
      <c r="J152" s="292"/>
      <c r="K152" s="275"/>
      <c r="L152" s="275"/>
      <c r="M152" s="275"/>
      <c r="N152" s="275"/>
      <c r="O152" s="275"/>
      <c r="P152" s="275"/>
      <c r="Q152" s="275"/>
      <c r="R152" s="288"/>
      <c r="S152" s="275"/>
      <c r="T152" s="321"/>
      <c r="V152" s="323"/>
      <c r="W152" s="323"/>
      <c r="X152" s="323"/>
      <c r="Y152" s="323"/>
      <c r="Z152" s="323"/>
      <c r="AA152" s="323"/>
      <c r="AB152" s="323"/>
      <c r="AC152" s="326">
        <f>SUM(AC153:AC164)</f>
        <v>330.17314576564297</v>
      </c>
      <c r="AD152" s="327"/>
      <c r="AE152" s="327"/>
      <c r="AF152" s="323" t="s">
        <v>36</v>
      </c>
      <c r="AG152" s="328" t="s">
        <v>29</v>
      </c>
      <c r="AH152" s="328"/>
      <c r="AI152" s="5" t="s">
        <v>97</v>
      </c>
      <c r="AJ152" s="329" t="s">
        <v>30</v>
      </c>
      <c r="AK152" s="4" t="s">
        <v>31</v>
      </c>
      <c r="AL152" s="3" t="s">
        <v>96</v>
      </c>
      <c r="AM152" s="330" t="s">
        <v>32</v>
      </c>
      <c r="AN152" s="4" t="s">
        <v>33</v>
      </c>
      <c r="AO152" s="979" t="s">
        <v>133</v>
      </c>
      <c r="AP152" s="981" t="s">
        <v>266</v>
      </c>
      <c r="AQ152" s="331" t="s">
        <v>116</v>
      </c>
      <c r="AR152" s="323" t="s">
        <v>44</v>
      </c>
      <c r="AS152" s="323" t="s">
        <v>37</v>
      </c>
      <c r="AT152" s="331" t="s">
        <v>243</v>
      </c>
      <c r="AU152" s="323" t="s">
        <v>244</v>
      </c>
      <c r="AV152" s="332" t="s">
        <v>39</v>
      </c>
      <c r="AW152" s="332" t="s">
        <v>40</v>
      </c>
      <c r="AX152" s="333" t="s">
        <v>21</v>
      </c>
      <c r="AY152" s="333" t="s">
        <v>22</v>
      </c>
      <c r="AZ152" s="333"/>
      <c r="BA152" s="334" t="s">
        <v>21</v>
      </c>
      <c r="BB152" s="334" t="s">
        <v>22</v>
      </c>
      <c r="BD152" s="243"/>
      <c r="BF152" s="119"/>
      <c r="BG152" s="119"/>
      <c r="BH152" s="119"/>
      <c r="BI152" s="119"/>
    </row>
    <row r="153" spans="2:88" ht="19" thickBot="1" x14ac:dyDescent="0.25">
      <c r="B153" s="232">
        <v>1</v>
      </c>
      <c r="C153" s="233">
        <f>+(B147*-1)+D153</f>
        <v>-1</v>
      </c>
      <c r="D153" s="16">
        <v>0</v>
      </c>
      <c r="E153" s="335" t="s">
        <v>72</v>
      </c>
      <c r="F153" s="247"/>
      <c r="G153" s="247"/>
      <c r="H153" s="9">
        <v>414.62658399999998</v>
      </c>
      <c r="I153" s="9">
        <v>36.220413100000002</v>
      </c>
      <c r="J153" s="283">
        <f>+I153-C153</f>
        <v>37.220413100000002</v>
      </c>
      <c r="K153" s="247"/>
      <c r="L153" s="247"/>
      <c r="M153" s="247"/>
      <c r="N153" s="247"/>
      <c r="O153" s="247"/>
      <c r="P153" s="283">
        <f>COS(J153*3.14159265358979/180)</f>
        <v>0.79631446343933165</v>
      </c>
      <c r="Q153" s="283">
        <f>+P153*H153</f>
        <v>330.17314576564297</v>
      </c>
      <c r="R153" s="9">
        <v>334.5</v>
      </c>
      <c r="S153" s="283">
        <f>+Q153</f>
        <v>330.17314576564297</v>
      </c>
      <c r="T153" s="247">
        <f t="shared" ref="T153:T164" si="6">+S153</f>
        <v>330.17314576564297</v>
      </c>
      <c r="U153" s="247"/>
      <c r="V153" s="247">
        <f t="shared" ref="V153:V164" si="7">IF(B153&lt;($B$150+1),T153,0)</f>
        <v>330.17314576564297</v>
      </c>
      <c r="W153" s="8">
        <v>36.220415500000001</v>
      </c>
      <c r="X153" s="247">
        <f>+W153+AH165</f>
        <v>35.220415500000001</v>
      </c>
      <c r="Y153" s="8">
        <v>414.6266</v>
      </c>
      <c r="Z153" s="337">
        <f>+COS(X153*3.14159265358979/180)*Y153</f>
        <v>338.72482798272335</v>
      </c>
      <c r="AA153" s="338">
        <f>+AC152-Z153</f>
        <v>-8.5516822170803835</v>
      </c>
      <c r="AB153" s="247"/>
      <c r="AC153" s="339">
        <f>IF(AD153=1,AF153)</f>
        <v>330.17314576564297</v>
      </c>
      <c r="AD153" s="339">
        <f t="shared" ref="AD153:AD164" si="8">MAX(AE$153:AE$164)</f>
        <v>1</v>
      </c>
      <c r="AE153" s="339">
        <f>IF(V153=0,0,1)</f>
        <v>1</v>
      </c>
      <c r="AF153" s="340">
        <f>SUM(V153:V164)/($B$150)</f>
        <v>330.17314576564297</v>
      </c>
      <c r="AG153" s="341">
        <f>+D153+C153</f>
        <v>-1</v>
      </c>
      <c r="AH153" s="342">
        <f t="shared" ref="AH153:AH164" si="9">IF(B153&lt;($B$150+1),AG153)</f>
        <v>-1</v>
      </c>
      <c r="AI153" s="6">
        <f>53.779595+AH153</f>
        <v>52.779595</v>
      </c>
      <c r="AJ153" s="344">
        <f>SIN(AI153*3.14159265358979/180)</f>
        <v>0.79631454895262255</v>
      </c>
      <c r="AK153" s="6">
        <f>+AJ153*414.6266</f>
        <v>330.17319396275946</v>
      </c>
      <c r="AL153" s="6">
        <f>59.2910885-AH153</f>
        <v>60.291088500000001</v>
      </c>
      <c r="AM153" s="345">
        <f>SIN(AL153*3.14159265358979/180)</f>
        <v>0.86855444275984117</v>
      </c>
      <c r="AN153" s="6">
        <f>+AM153*479.7721</f>
        <v>416.7081889672188</v>
      </c>
      <c r="AO153" s="346">
        <f t="shared" ref="AO153:AO164" si="10">+((AF153*AP153)+($AP$177*($AF$177+$AA$153)))/AQ153</f>
        <v>224.52173579868358</v>
      </c>
      <c r="AP153" s="980">
        <f>$C$10*B150</f>
        <v>72</v>
      </c>
      <c r="AQ153" s="346">
        <f t="shared" ref="AQ153:AQ164" si="11">+AP153+$AP$177+31</f>
        <v>132.30000000000001</v>
      </c>
      <c r="AR153" s="347">
        <f>+AN153+AK153</f>
        <v>746.88138292997826</v>
      </c>
      <c r="AS153" s="348">
        <f>+V153-AN153</f>
        <v>-86.535043201575832</v>
      </c>
      <c r="AT153" s="349">
        <f>+AO153-AS153</f>
        <v>311.05677900025944</v>
      </c>
      <c r="AU153" s="348">
        <f>+AF153-AS153</f>
        <v>416.7081889672188</v>
      </c>
      <c r="AV153" s="350">
        <f>+((AR153-AT153)/AR153)*AQ153</f>
        <v>77.200471745200161</v>
      </c>
      <c r="AW153" s="350">
        <f>+(AT153/AR153)*AQ153</f>
        <v>55.09952825479985</v>
      </c>
      <c r="AX153" s="351">
        <f t="shared" ref="AX153:AX164" si="12">2*$C$19/AV153</f>
        <v>150.2581491766754</v>
      </c>
      <c r="AY153" s="351">
        <f t="shared" ref="AY153:AY164" si="13">2*$D$19/AW153</f>
        <v>210.52811825098516</v>
      </c>
      <c r="AZ153" s="1042"/>
      <c r="BA153" s="352">
        <f t="shared" ref="BA153:BA164" si="14">ABS(AX153)</f>
        <v>150.2581491766754</v>
      </c>
      <c r="BB153" s="352">
        <f t="shared" ref="BB153:BB164" si="15">ABS(AY153)</f>
        <v>210.52811825098516</v>
      </c>
      <c r="BC153" s="74"/>
      <c r="BD153" s="243"/>
      <c r="BF153" s="119"/>
      <c r="BG153" s="119"/>
      <c r="BH153" s="119"/>
      <c r="BI153" s="119"/>
    </row>
    <row r="154" spans="2:88" ht="19" thickBot="1" x14ac:dyDescent="0.25">
      <c r="B154" s="244">
        <v>2</v>
      </c>
      <c r="C154" s="245"/>
      <c r="D154" s="16">
        <v>0</v>
      </c>
      <c r="E154" s="234" t="s">
        <v>72</v>
      </c>
      <c r="F154" s="235"/>
      <c r="G154" s="235"/>
      <c r="H154" s="7">
        <v>479.77208100000001</v>
      </c>
      <c r="I154" s="7">
        <v>61.416098300000002</v>
      </c>
      <c r="J154" s="235">
        <f>+I154+D154</f>
        <v>61.416098300000002</v>
      </c>
      <c r="K154" s="235">
        <f t="shared" ref="K154:K164" si="16">+J154/2</f>
        <v>30.708049150000001</v>
      </c>
      <c r="L154" s="235">
        <f t="shared" ref="L154:L164" si="17">SIN(K154*3.14159265358979/180)</f>
        <v>0.51066370850547771</v>
      </c>
      <c r="M154" s="235">
        <f t="shared" ref="M154:M164" si="18">+L154*H154</f>
        <v>245.00219012085046</v>
      </c>
      <c r="N154" s="235">
        <f t="shared" ref="N154:N164" si="19">+M154*2</f>
        <v>490.00438024170091</v>
      </c>
      <c r="O154" s="235">
        <f>+C153+(D154/2)</f>
        <v>-1</v>
      </c>
      <c r="P154" s="235">
        <f t="shared" ref="P154:P164" si="20">SIN(O154*3.14159265358979/180)</f>
        <v>-1.7452406437283494E-2</v>
      </c>
      <c r="Q154" s="235">
        <f t="shared" ref="Q154:Q164" si="21">+P154*N154</f>
        <v>-8.55175560002737</v>
      </c>
      <c r="R154" s="235">
        <f t="shared" ref="R154:R164" si="22">+T153</f>
        <v>330.17314576564297</v>
      </c>
      <c r="S154" s="235">
        <f>+R154+Q154</f>
        <v>321.62139016561559</v>
      </c>
      <c r="T154" s="235">
        <f t="shared" si="6"/>
        <v>321.62139016561559</v>
      </c>
      <c r="U154" s="235"/>
      <c r="V154" s="235">
        <f t="shared" si="7"/>
        <v>0</v>
      </c>
      <c r="W154" s="235"/>
      <c r="X154" s="235"/>
      <c r="Y154" s="235"/>
      <c r="Z154" s="235"/>
      <c r="AA154" s="235"/>
      <c r="AB154" s="235"/>
      <c r="AC154" s="339" t="b">
        <f>IF(AD154=2,AF154)</f>
        <v>0</v>
      </c>
      <c r="AD154" s="339">
        <f t="shared" si="8"/>
        <v>1</v>
      </c>
      <c r="AE154" s="339">
        <f>IF(V154=0,0,2)</f>
        <v>0</v>
      </c>
      <c r="AF154" s="340" t="e">
        <f>SUM(V154:V164)/($B$150-B153)</f>
        <v>#DIV/0!</v>
      </c>
      <c r="AG154" s="353">
        <f>SUM(D154)+$C$153</f>
        <v>-1</v>
      </c>
      <c r="AH154" s="342" t="b">
        <f t="shared" si="9"/>
        <v>0</v>
      </c>
      <c r="AI154" s="6">
        <f t="shared" ref="AI154:AI164" si="23">53.779595+AH154</f>
        <v>53.779595</v>
      </c>
      <c r="AJ154" s="344">
        <f>SIN(AI154*3.14159265358979/180)</f>
        <v>0.8067499259590819</v>
      </c>
      <c r="AK154" s="6">
        <f t="shared" ref="AK154:AK164" si="24">+AJ154*414.6266</f>
        <v>334.49997885066585</v>
      </c>
      <c r="AL154" s="6">
        <f t="shared" ref="AL154:AL164" si="25">59.2910885-AH154</f>
        <v>59.291088500000001</v>
      </c>
      <c r="AM154" s="345">
        <f t="shared" ref="AM154:AM164" si="26">SIN(AL154*3.14159265358979/180)</f>
        <v>0.85977285389573432</v>
      </c>
      <c r="AN154" s="6">
        <f t="shared" ref="AN154:AN164" si="27">+AM154*479.7721</f>
        <v>412.49502763654965</v>
      </c>
      <c r="AO154" s="346" t="e">
        <f t="shared" si="10"/>
        <v>#DIV/0!</v>
      </c>
      <c r="AP154" s="980">
        <f>$C$10*($B$150-B153)</f>
        <v>0</v>
      </c>
      <c r="AQ154" s="346">
        <f t="shared" si="11"/>
        <v>60.3</v>
      </c>
      <c r="AR154" s="347">
        <f t="shared" ref="AR154:AR164" si="28">+AN154+AK154</f>
        <v>746.99500648721551</v>
      </c>
      <c r="AS154" s="348">
        <f>+V154-AN154</f>
        <v>-412.49502763654965</v>
      </c>
      <c r="AT154" s="349" t="e">
        <f t="shared" ref="AT154:AT164" si="29">+AO154-AS154</f>
        <v>#DIV/0!</v>
      </c>
      <c r="AU154" s="348" t="e">
        <f>+AF154-AS154</f>
        <v>#DIV/0!</v>
      </c>
      <c r="AV154" s="350" t="e">
        <f t="shared" ref="AV154:AV164" si="30">+((AR154-AT154)/AR154)*AQ154</f>
        <v>#DIV/0!</v>
      </c>
      <c r="AW154" s="350" t="e">
        <f t="shared" ref="AW154:AW164" si="31">+(AT154/AR154)*AQ154</f>
        <v>#DIV/0!</v>
      </c>
      <c r="AX154" s="351" t="e">
        <f t="shared" si="12"/>
        <v>#DIV/0!</v>
      </c>
      <c r="AY154" s="351" t="e">
        <f t="shared" si="13"/>
        <v>#DIV/0!</v>
      </c>
      <c r="AZ154" s="351"/>
      <c r="BA154" s="354" t="e">
        <f t="shared" si="14"/>
        <v>#DIV/0!</v>
      </c>
      <c r="BB154" s="354" t="e">
        <f t="shared" si="15"/>
        <v>#DIV/0!</v>
      </c>
      <c r="BD154" s="243"/>
      <c r="BF154" s="119"/>
      <c r="BG154" s="119"/>
      <c r="BH154" s="119"/>
      <c r="BI154" s="119"/>
    </row>
    <row r="155" spans="2:88" ht="19" thickBot="1" x14ac:dyDescent="0.25">
      <c r="B155" s="244">
        <v>3</v>
      </c>
      <c r="C155" s="245"/>
      <c r="D155" s="16">
        <v>0</v>
      </c>
      <c r="E155" s="234" t="s">
        <v>72</v>
      </c>
      <c r="F155" s="235"/>
      <c r="G155" s="235"/>
      <c r="H155" s="7">
        <v>479.77208100000001</v>
      </c>
      <c r="I155" s="7">
        <v>61.416098300000002</v>
      </c>
      <c r="J155" s="235">
        <f t="shared" ref="J155:J164" si="32">+I155+D155</f>
        <v>61.416098300000002</v>
      </c>
      <c r="K155" s="235">
        <f t="shared" si="16"/>
        <v>30.708049150000001</v>
      </c>
      <c r="L155" s="235">
        <f t="shared" si="17"/>
        <v>0.51066370850547771</v>
      </c>
      <c r="M155" s="235">
        <f t="shared" si="18"/>
        <v>245.00219012085046</v>
      </c>
      <c r="N155" s="235">
        <f t="shared" si="19"/>
        <v>490.00438024170091</v>
      </c>
      <c r="O155" s="235">
        <f>+C153+D154+(D155/2)</f>
        <v>-1</v>
      </c>
      <c r="P155" s="235">
        <f t="shared" si="20"/>
        <v>-1.7452406437283494E-2</v>
      </c>
      <c r="Q155" s="235">
        <f t="shared" si="21"/>
        <v>-8.55175560002737</v>
      </c>
      <c r="R155" s="235">
        <f t="shared" si="22"/>
        <v>321.62139016561559</v>
      </c>
      <c r="S155" s="235">
        <f t="shared" ref="S155:S164" si="33">+S154+Q155</f>
        <v>313.06963456558822</v>
      </c>
      <c r="T155" s="235">
        <f t="shared" si="6"/>
        <v>313.06963456558822</v>
      </c>
      <c r="U155" s="235"/>
      <c r="V155" s="235">
        <f t="shared" si="7"/>
        <v>0</v>
      </c>
      <c r="W155" s="235"/>
      <c r="X155" s="235"/>
      <c r="Y155" s="235"/>
      <c r="Z155" s="235"/>
      <c r="AA155" s="235"/>
      <c r="AB155" s="235"/>
      <c r="AC155" s="339" t="b">
        <f>IF(AD155=3,AF155)</f>
        <v>0</v>
      </c>
      <c r="AD155" s="339">
        <f t="shared" si="8"/>
        <v>1</v>
      </c>
      <c r="AE155" s="339">
        <f>IF(V155=0,0,3)</f>
        <v>0</v>
      </c>
      <c r="AF155" s="340">
        <f>SUM(V155:V164)/($B$150-B154)</f>
        <v>0</v>
      </c>
      <c r="AG155" s="353">
        <f>SUM(D154:D155)+$C$153</f>
        <v>-1</v>
      </c>
      <c r="AH155" s="342" t="b">
        <f t="shared" si="9"/>
        <v>0</v>
      </c>
      <c r="AI155" s="6">
        <f t="shared" si="23"/>
        <v>53.779595</v>
      </c>
      <c r="AJ155" s="344">
        <f t="shared" ref="AJ155:AJ164" si="34">SIN(AI155*3.14159265358979/180)</f>
        <v>0.8067499259590819</v>
      </c>
      <c r="AK155" s="6">
        <f t="shared" si="24"/>
        <v>334.49997885066585</v>
      </c>
      <c r="AL155" s="6">
        <f t="shared" si="25"/>
        <v>59.291088500000001</v>
      </c>
      <c r="AM155" s="345">
        <f t="shared" si="26"/>
        <v>0.85977285389573432</v>
      </c>
      <c r="AN155" s="6">
        <f t="shared" si="27"/>
        <v>412.49502763654965</v>
      </c>
      <c r="AO155" s="346">
        <f t="shared" si="10"/>
        <v>-506.98796162731139</v>
      </c>
      <c r="AP155" s="980">
        <f t="shared" ref="AP155:AP164" si="35">$C$10*($B$150-B154)</f>
        <v>-72</v>
      </c>
      <c r="AQ155" s="346">
        <f t="shared" si="11"/>
        <v>-11.700000000000003</v>
      </c>
      <c r="AR155" s="347">
        <f t="shared" si="28"/>
        <v>746.99500648721551</v>
      </c>
      <c r="AS155" s="348">
        <f>+V155-AN155</f>
        <v>-412.49502763654965</v>
      </c>
      <c r="AT155" s="349">
        <f t="shared" si="29"/>
        <v>-94.492933990761742</v>
      </c>
      <c r="AU155" s="348">
        <f>+AF155-AS155</f>
        <v>412.49502763654965</v>
      </c>
      <c r="AV155" s="350">
        <f t="shared" si="30"/>
        <v>-13.180019703064556</v>
      </c>
      <c r="AW155" s="350">
        <f t="shared" si="31"/>
        <v>1.4800197030645532</v>
      </c>
      <c r="AX155" s="351">
        <f t="shared" si="12"/>
        <v>-880.12008034425196</v>
      </c>
      <c r="AY155" s="351">
        <f t="shared" si="13"/>
        <v>7837.7334950209433</v>
      </c>
      <c r="AZ155" s="351"/>
      <c r="BA155" s="354">
        <f t="shared" si="14"/>
        <v>880.12008034425196</v>
      </c>
      <c r="BB155" s="354">
        <f t="shared" si="15"/>
        <v>7837.7334950209433</v>
      </c>
      <c r="BD155" s="243"/>
      <c r="BF155" s="119"/>
      <c r="BG155" s="119"/>
      <c r="BH155" s="119"/>
      <c r="BI155" s="119"/>
    </row>
    <row r="156" spans="2:88" ht="19" thickBot="1" x14ac:dyDescent="0.25">
      <c r="B156" s="244">
        <v>4</v>
      </c>
      <c r="C156" s="245"/>
      <c r="D156" s="16">
        <v>0</v>
      </c>
      <c r="E156" s="234" t="s">
        <v>72</v>
      </c>
      <c r="F156" s="235"/>
      <c r="G156" s="235"/>
      <c r="H156" s="7">
        <v>479.77208100000001</v>
      </c>
      <c r="I156" s="7">
        <v>61.416098300000002</v>
      </c>
      <c r="J156" s="235">
        <f t="shared" si="32"/>
        <v>61.416098300000002</v>
      </c>
      <c r="K156" s="235">
        <f t="shared" si="16"/>
        <v>30.708049150000001</v>
      </c>
      <c r="L156" s="235">
        <f t="shared" si="17"/>
        <v>0.51066370850547771</v>
      </c>
      <c r="M156" s="235">
        <f t="shared" si="18"/>
        <v>245.00219012085046</v>
      </c>
      <c r="N156" s="235">
        <f t="shared" si="19"/>
        <v>490.00438024170091</v>
      </c>
      <c r="O156" s="235">
        <f>+C153+D154+D155+(D156/2)</f>
        <v>-1</v>
      </c>
      <c r="P156" s="235">
        <f t="shared" si="20"/>
        <v>-1.7452406437283494E-2</v>
      </c>
      <c r="Q156" s="235">
        <f t="shared" si="21"/>
        <v>-8.55175560002737</v>
      </c>
      <c r="R156" s="235">
        <f t="shared" si="22"/>
        <v>313.06963456558822</v>
      </c>
      <c r="S156" s="235">
        <f t="shared" si="33"/>
        <v>304.51787896556084</v>
      </c>
      <c r="T156" s="235">
        <f t="shared" si="6"/>
        <v>304.51787896556084</v>
      </c>
      <c r="U156" s="235"/>
      <c r="V156" s="235">
        <f t="shared" si="7"/>
        <v>0</v>
      </c>
      <c r="W156" s="235"/>
      <c r="X156" s="235"/>
      <c r="Y156" s="235"/>
      <c r="Z156" s="235"/>
      <c r="AA156" s="235"/>
      <c r="AB156" s="235"/>
      <c r="AC156" s="339" t="b">
        <f>IF(AD156=4,AF156)</f>
        <v>0</v>
      </c>
      <c r="AD156" s="339">
        <f t="shared" si="8"/>
        <v>1</v>
      </c>
      <c r="AE156" s="339">
        <f>IF(V156=0,0,4)</f>
        <v>0</v>
      </c>
      <c r="AF156" s="340">
        <f>SUM(V156:V164)/($B$150-B155)</f>
        <v>0</v>
      </c>
      <c r="AG156" s="353">
        <f>SUM(D154:D156)+$C$153</f>
        <v>-1</v>
      </c>
      <c r="AH156" s="342" t="b">
        <f t="shared" si="9"/>
        <v>0</v>
      </c>
      <c r="AI156" s="6">
        <f t="shared" si="23"/>
        <v>53.779595</v>
      </c>
      <c r="AJ156" s="344">
        <f t="shared" si="34"/>
        <v>0.8067499259590819</v>
      </c>
      <c r="AK156" s="6">
        <f t="shared" si="24"/>
        <v>334.49997885066585</v>
      </c>
      <c r="AL156" s="6">
        <f t="shared" si="25"/>
        <v>59.291088500000001</v>
      </c>
      <c r="AM156" s="345">
        <f t="shared" si="26"/>
        <v>0.85977285389573432</v>
      </c>
      <c r="AN156" s="6">
        <f t="shared" si="27"/>
        <v>412.49502763654965</v>
      </c>
      <c r="AO156" s="346">
        <f t="shared" si="10"/>
        <v>-70.869284958656451</v>
      </c>
      <c r="AP156" s="980">
        <f t="shared" si="35"/>
        <v>-144</v>
      </c>
      <c r="AQ156" s="346">
        <f t="shared" si="11"/>
        <v>-83.7</v>
      </c>
      <c r="AR156" s="347">
        <f t="shared" si="28"/>
        <v>746.99500648721551</v>
      </c>
      <c r="AS156" s="348">
        <f>+V156-AN156</f>
        <v>-412.49502763654965</v>
      </c>
      <c r="AT156" s="349">
        <f t="shared" si="29"/>
        <v>341.62574267789319</v>
      </c>
      <c r="AU156" s="348">
        <f t="shared" ref="AU156:AU164" si="36">+AF156-AS156</f>
        <v>412.49502763654965</v>
      </c>
      <c r="AV156" s="350">
        <f t="shared" si="30"/>
        <v>-45.421197044402149</v>
      </c>
      <c r="AW156" s="350">
        <f t="shared" si="31"/>
        <v>-38.278802955597847</v>
      </c>
      <c r="AX156" s="351">
        <f t="shared" si="12"/>
        <v>-255.38736877982876</v>
      </c>
      <c r="AY156" s="351">
        <f t="shared" si="13"/>
        <v>-303.03977931221146</v>
      </c>
      <c r="AZ156" s="351"/>
      <c r="BA156" s="354">
        <f t="shared" si="14"/>
        <v>255.38736877982876</v>
      </c>
      <c r="BB156" s="354">
        <f t="shared" si="15"/>
        <v>303.03977931221146</v>
      </c>
      <c r="BD156" s="243"/>
      <c r="BF156" s="119"/>
      <c r="BG156" s="119"/>
      <c r="BH156" s="119"/>
      <c r="BI156" s="119"/>
    </row>
    <row r="157" spans="2:88" ht="19" thickBot="1" x14ac:dyDescent="0.25">
      <c r="B157" s="244">
        <v>5</v>
      </c>
      <c r="C157" s="245"/>
      <c r="D157" s="16">
        <v>0</v>
      </c>
      <c r="E157" s="234" t="s">
        <v>72</v>
      </c>
      <c r="F157" s="235"/>
      <c r="G157" s="235"/>
      <c r="H157" s="7">
        <v>479.77208100000001</v>
      </c>
      <c r="I157" s="7">
        <v>61.416098300000002</v>
      </c>
      <c r="J157" s="235">
        <f t="shared" si="32"/>
        <v>61.416098300000002</v>
      </c>
      <c r="K157" s="235">
        <f t="shared" si="16"/>
        <v>30.708049150000001</v>
      </c>
      <c r="L157" s="235">
        <f t="shared" si="17"/>
        <v>0.51066370850547771</v>
      </c>
      <c r="M157" s="235">
        <f t="shared" si="18"/>
        <v>245.00219012085046</v>
      </c>
      <c r="N157" s="235">
        <f t="shared" si="19"/>
        <v>490.00438024170091</v>
      </c>
      <c r="O157" s="235">
        <f>+C153+D154+D155+D156+(D157/2)</f>
        <v>-1</v>
      </c>
      <c r="P157" s="235">
        <f t="shared" si="20"/>
        <v>-1.7452406437283494E-2</v>
      </c>
      <c r="Q157" s="235">
        <f t="shared" si="21"/>
        <v>-8.55175560002737</v>
      </c>
      <c r="R157" s="235">
        <f t="shared" si="22"/>
        <v>304.51787896556084</v>
      </c>
      <c r="S157" s="235">
        <f t="shared" si="33"/>
        <v>295.96612336553346</v>
      </c>
      <c r="T157" s="235">
        <f t="shared" si="6"/>
        <v>295.96612336553346</v>
      </c>
      <c r="U157" s="235"/>
      <c r="V157" s="235">
        <f t="shared" si="7"/>
        <v>0</v>
      </c>
      <c r="W157" s="235"/>
      <c r="X157" s="235"/>
      <c r="Y157" s="235"/>
      <c r="Z157" s="235"/>
      <c r="AA157" s="235"/>
      <c r="AB157" s="235"/>
      <c r="AC157" s="339" t="b">
        <f>IF(AD157=5,AF157)</f>
        <v>0</v>
      </c>
      <c r="AD157" s="339">
        <f t="shared" si="8"/>
        <v>1</v>
      </c>
      <c r="AE157" s="339">
        <f>IF(V157=0,0,5)</f>
        <v>0</v>
      </c>
      <c r="AF157" s="340">
        <f>SUM(V157:V164)/($B$150-B156)</f>
        <v>0</v>
      </c>
      <c r="AG157" s="353">
        <f>SUM(D154:D157)+$C$153</f>
        <v>-1</v>
      </c>
      <c r="AH157" s="342" t="b">
        <f t="shared" si="9"/>
        <v>0</v>
      </c>
      <c r="AI157" s="6">
        <f t="shared" si="23"/>
        <v>53.779595</v>
      </c>
      <c r="AJ157" s="344">
        <f t="shared" si="34"/>
        <v>0.8067499259590819</v>
      </c>
      <c r="AK157" s="6">
        <f t="shared" si="24"/>
        <v>334.49997885066585</v>
      </c>
      <c r="AL157" s="6">
        <f t="shared" si="25"/>
        <v>59.291088500000001</v>
      </c>
      <c r="AM157" s="345">
        <f t="shared" si="26"/>
        <v>0.85977285389573432</v>
      </c>
      <c r="AN157" s="6">
        <f t="shared" si="27"/>
        <v>412.49502763654965</v>
      </c>
      <c r="AO157" s="346">
        <f t="shared" si="10"/>
        <v>-38.097361278352892</v>
      </c>
      <c r="AP157" s="980">
        <f t="shared" si="35"/>
        <v>-216</v>
      </c>
      <c r="AQ157" s="346">
        <f t="shared" si="11"/>
        <v>-155.69999999999999</v>
      </c>
      <c r="AR157" s="347">
        <f t="shared" si="28"/>
        <v>746.99500648721551</v>
      </c>
      <c r="AS157" s="348">
        <f t="shared" ref="AS157:AS164" si="37">+V157-AN157</f>
        <v>-412.49502763654965</v>
      </c>
      <c r="AT157" s="349">
        <f t="shared" si="29"/>
        <v>374.39766635819677</v>
      </c>
      <c r="AU157" s="348">
        <f t="shared" si="36"/>
        <v>412.49502763654965</v>
      </c>
      <c r="AV157" s="350">
        <f t="shared" si="30"/>
        <v>-77.662374385739739</v>
      </c>
      <c r="AW157" s="350">
        <f t="shared" si="31"/>
        <v>-78.037625614260264</v>
      </c>
      <c r="AX157" s="351">
        <f t="shared" si="12"/>
        <v>-149.36447786651726</v>
      </c>
      <c r="AY157" s="351">
        <f t="shared" si="13"/>
        <v>-148.64624479143899</v>
      </c>
      <c r="AZ157" s="351"/>
      <c r="BA157" s="354">
        <f t="shared" si="14"/>
        <v>149.36447786651726</v>
      </c>
      <c r="BB157" s="354">
        <f t="shared" si="15"/>
        <v>148.64624479143899</v>
      </c>
      <c r="BD157" s="243"/>
      <c r="BF157" s="119"/>
      <c r="BG157" s="119"/>
      <c r="BH157" s="119"/>
      <c r="BI157" s="119"/>
    </row>
    <row r="158" spans="2:88" ht="19" thickBot="1" x14ac:dyDescent="0.25">
      <c r="B158" s="244">
        <v>6</v>
      </c>
      <c r="C158" s="245"/>
      <c r="D158" s="16">
        <v>0</v>
      </c>
      <c r="E158" s="234" t="s">
        <v>72</v>
      </c>
      <c r="F158" s="235"/>
      <c r="G158" s="235"/>
      <c r="H158" s="7">
        <v>479.77208100000001</v>
      </c>
      <c r="I158" s="7">
        <v>61.416098300000002</v>
      </c>
      <c r="J158" s="235">
        <f t="shared" si="32"/>
        <v>61.416098300000002</v>
      </c>
      <c r="K158" s="235">
        <f t="shared" si="16"/>
        <v>30.708049150000001</v>
      </c>
      <c r="L158" s="235">
        <f t="shared" si="17"/>
        <v>0.51066370850547771</v>
      </c>
      <c r="M158" s="235">
        <f t="shared" si="18"/>
        <v>245.00219012085046</v>
      </c>
      <c r="N158" s="235">
        <f t="shared" si="19"/>
        <v>490.00438024170091</v>
      </c>
      <c r="O158" s="235">
        <f>+C153+D154+D155+D156+D157+(D158/2)</f>
        <v>-1</v>
      </c>
      <c r="P158" s="235">
        <f t="shared" si="20"/>
        <v>-1.7452406437283494E-2</v>
      </c>
      <c r="Q158" s="235">
        <f t="shared" si="21"/>
        <v>-8.55175560002737</v>
      </c>
      <c r="R158" s="235">
        <f t="shared" si="22"/>
        <v>295.96612336553346</v>
      </c>
      <c r="S158" s="235">
        <f t="shared" si="33"/>
        <v>287.41436776550609</v>
      </c>
      <c r="T158" s="235">
        <f t="shared" si="6"/>
        <v>287.41436776550609</v>
      </c>
      <c r="U158" s="235"/>
      <c r="V158" s="235">
        <f t="shared" si="7"/>
        <v>0</v>
      </c>
      <c r="W158" s="235"/>
      <c r="X158" s="235"/>
      <c r="Y158" s="235"/>
      <c r="Z158" s="235"/>
      <c r="AA158" s="235"/>
      <c r="AB158" s="235"/>
      <c r="AC158" s="339" t="b">
        <f>IF(AD158=6,AF158)</f>
        <v>0</v>
      </c>
      <c r="AD158" s="339">
        <f t="shared" si="8"/>
        <v>1</v>
      </c>
      <c r="AE158" s="339">
        <f>IF(V158=0,0,6)</f>
        <v>0</v>
      </c>
      <c r="AF158" s="340">
        <f>SUM(V158:V164)/($B$150-B157)</f>
        <v>0</v>
      </c>
      <c r="AG158" s="353">
        <f>SUM(D154:D158)+$C$153</f>
        <v>-1</v>
      </c>
      <c r="AH158" s="342" t="b">
        <f t="shared" si="9"/>
        <v>0</v>
      </c>
      <c r="AI158" s="6">
        <f t="shared" si="23"/>
        <v>53.779595</v>
      </c>
      <c r="AJ158" s="344">
        <f t="shared" si="34"/>
        <v>0.8067499259590819</v>
      </c>
      <c r="AK158" s="6">
        <f t="shared" si="24"/>
        <v>334.49997885066585</v>
      </c>
      <c r="AL158" s="6">
        <f t="shared" si="25"/>
        <v>59.291088500000001</v>
      </c>
      <c r="AM158" s="345">
        <f t="shared" si="26"/>
        <v>0.85977285389573432</v>
      </c>
      <c r="AN158" s="6">
        <f t="shared" si="27"/>
        <v>412.49502763654965</v>
      </c>
      <c r="AO158" s="346">
        <f t="shared" si="10"/>
        <v>-26.050764826699805</v>
      </c>
      <c r="AP158" s="980">
        <f t="shared" si="35"/>
        <v>-288</v>
      </c>
      <c r="AQ158" s="346">
        <f t="shared" si="11"/>
        <v>-227.7</v>
      </c>
      <c r="AR158" s="347">
        <f t="shared" si="28"/>
        <v>746.99500648721551</v>
      </c>
      <c r="AS158" s="348">
        <f t="shared" si="37"/>
        <v>-412.49502763654965</v>
      </c>
      <c r="AT158" s="349">
        <f t="shared" si="29"/>
        <v>386.44426280984987</v>
      </c>
      <c r="AU158" s="348">
        <f t="shared" si="36"/>
        <v>412.49502763654965</v>
      </c>
      <c r="AV158" s="350">
        <f t="shared" si="30"/>
        <v>-109.90355172707733</v>
      </c>
      <c r="AW158" s="350">
        <f t="shared" si="31"/>
        <v>-117.79644827292267</v>
      </c>
      <c r="AX158" s="351">
        <f t="shared" si="12"/>
        <v>-105.54708940440973</v>
      </c>
      <c r="AY158" s="351">
        <f t="shared" si="13"/>
        <v>-98.474955485278741</v>
      </c>
      <c r="AZ158" s="351"/>
      <c r="BA158" s="354">
        <f t="shared" si="14"/>
        <v>105.54708940440973</v>
      </c>
      <c r="BB158" s="354">
        <f t="shared" si="15"/>
        <v>98.474955485278741</v>
      </c>
      <c r="BD158" s="243"/>
      <c r="BF158" s="119"/>
      <c r="BG158" s="119"/>
      <c r="BH158" s="119"/>
      <c r="BI158" s="119"/>
      <c r="BQ158" s="267"/>
      <c r="BR158" s="267"/>
      <c r="BS158" s="267"/>
      <c r="BT158" s="267"/>
      <c r="BU158" s="267"/>
      <c r="BV158" s="267"/>
      <c r="BW158" s="1109"/>
      <c r="BX158" s="1109"/>
      <c r="BY158" s="1109"/>
      <c r="BZ158" s="109"/>
    </row>
    <row r="159" spans="2:88" ht="19" thickBot="1" x14ac:dyDescent="0.25">
      <c r="B159" s="244">
        <v>7</v>
      </c>
      <c r="C159" s="245"/>
      <c r="D159" s="16">
        <v>0</v>
      </c>
      <c r="E159" s="234" t="s">
        <v>72</v>
      </c>
      <c r="F159" s="235"/>
      <c r="G159" s="235"/>
      <c r="H159" s="7">
        <v>479.77208100000001</v>
      </c>
      <c r="I159" s="7">
        <v>61.416098300000002</v>
      </c>
      <c r="J159" s="235">
        <f t="shared" si="32"/>
        <v>61.416098300000002</v>
      </c>
      <c r="K159" s="235">
        <f t="shared" si="16"/>
        <v>30.708049150000001</v>
      </c>
      <c r="L159" s="235">
        <f t="shared" si="17"/>
        <v>0.51066370850547771</v>
      </c>
      <c r="M159" s="235">
        <f t="shared" si="18"/>
        <v>245.00219012085046</v>
      </c>
      <c r="N159" s="235">
        <f t="shared" si="19"/>
        <v>490.00438024170091</v>
      </c>
      <c r="O159" s="235">
        <f>+C153+D154+D155+D156+D157+D158+(D159/2)</f>
        <v>-1</v>
      </c>
      <c r="P159" s="235">
        <f t="shared" si="20"/>
        <v>-1.7452406437283494E-2</v>
      </c>
      <c r="Q159" s="235">
        <f t="shared" si="21"/>
        <v>-8.55175560002737</v>
      </c>
      <c r="R159" s="235">
        <f t="shared" si="22"/>
        <v>287.41436776550609</v>
      </c>
      <c r="S159" s="235">
        <f t="shared" si="33"/>
        <v>278.86261216547871</v>
      </c>
      <c r="T159" s="235">
        <f t="shared" si="6"/>
        <v>278.86261216547871</v>
      </c>
      <c r="U159" s="235"/>
      <c r="V159" s="235">
        <f t="shared" si="7"/>
        <v>0</v>
      </c>
      <c r="W159" s="235"/>
      <c r="X159" s="235"/>
      <c r="Y159" s="235"/>
      <c r="Z159" s="235"/>
      <c r="AA159" s="235"/>
      <c r="AB159" s="235"/>
      <c r="AC159" s="339" t="b">
        <f>IF(AD159=7,AF159)</f>
        <v>0</v>
      </c>
      <c r="AD159" s="339">
        <f t="shared" si="8"/>
        <v>1</v>
      </c>
      <c r="AE159" s="339">
        <f>IF(V159=0,0,7)</f>
        <v>0</v>
      </c>
      <c r="AF159" s="340">
        <f>SUM(V159:V164)/($B$150-B158)</f>
        <v>0</v>
      </c>
      <c r="AG159" s="353">
        <f>SUM(D154:D159)+$C$153</f>
        <v>-1</v>
      </c>
      <c r="AH159" s="342" t="b">
        <f t="shared" si="9"/>
        <v>0</v>
      </c>
      <c r="AI159" s="6">
        <f t="shared" si="23"/>
        <v>53.779595</v>
      </c>
      <c r="AJ159" s="344">
        <f t="shared" si="34"/>
        <v>0.8067499259590819</v>
      </c>
      <c r="AK159" s="6">
        <f t="shared" si="24"/>
        <v>334.49997885066585</v>
      </c>
      <c r="AL159" s="6">
        <f t="shared" si="25"/>
        <v>59.291088500000001</v>
      </c>
      <c r="AM159" s="345">
        <f t="shared" si="26"/>
        <v>0.85977285389573432</v>
      </c>
      <c r="AN159" s="6">
        <f t="shared" si="27"/>
        <v>412.49502763654965</v>
      </c>
      <c r="AO159" s="346">
        <f t="shared" si="10"/>
        <v>-19.792322826291443</v>
      </c>
      <c r="AP159" s="980">
        <f t="shared" si="35"/>
        <v>-360</v>
      </c>
      <c r="AQ159" s="346">
        <f t="shared" si="11"/>
        <v>-299.7</v>
      </c>
      <c r="AR159" s="347">
        <f t="shared" si="28"/>
        <v>746.99500648721551</v>
      </c>
      <c r="AS159" s="348">
        <f t="shared" si="37"/>
        <v>-412.49502763654965</v>
      </c>
      <c r="AT159" s="349">
        <f t="shared" si="29"/>
        <v>392.70270481025818</v>
      </c>
      <c r="AU159" s="348">
        <f t="shared" si="36"/>
        <v>412.49502763654965</v>
      </c>
      <c r="AV159" s="350">
        <f t="shared" si="30"/>
        <v>-142.14472906841493</v>
      </c>
      <c r="AW159" s="350">
        <f t="shared" si="31"/>
        <v>-157.55527093158506</v>
      </c>
      <c r="AX159" s="351">
        <f t="shared" si="12"/>
        <v>-81.606965492310763</v>
      </c>
      <c r="AY159" s="351">
        <f t="shared" si="13"/>
        <v>-73.624956698764123</v>
      </c>
      <c r="AZ159" s="351"/>
      <c r="BA159" s="354">
        <f t="shared" si="14"/>
        <v>81.606965492310763</v>
      </c>
      <c r="BB159" s="354">
        <f t="shared" si="15"/>
        <v>73.624956698764123</v>
      </c>
      <c r="BD159" s="243"/>
      <c r="BF159" s="119"/>
      <c r="BG159" s="119"/>
      <c r="BH159" s="119"/>
      <c r="BI159" s="119"/>
      <c r="BW159" s="268"/>
      <c r="CJ159" s="268"/>
    </row>
    <row r="160" spans="2:88" ht="19" thickBot="1" x14ac:dyDescent="0.25">
      <c r="B160" s="244">
        <v>8</v>
      </c>
      <c r="C160" s="245"/>
      <c r="D160" s="16">
        <v>0</v>
      </c>
      <c r="E160" s="234" t="s">
        <v>72</v>
      </c>
      <c r="F160" s="235"/>
      <c r="G160" s="235"/>
      <c r="H160" s="7">
        <v>479.77208100000001</v>
      </c>
      <c r="I160" s="7">
        <v>61.416098300000002</v>
      </c>
      <c r="J160" s="235">
        <f t="shared" si="32"/>
        <v>61.416098300000002</v>
      </c>
      <c r="K160" s="235">
        <f t="shared" si="16"/>
        <v>30.708049150000001</v>
      </c>
      <c r="L160" s="235">
        <f t="shared" si="17"/>
        <v>0.51066370850547771</v>
      </c>
      <c r="M160" s="235">
        <f t="shared" si="18"/>
        <v>245.00219012085046</v>
      </c>
      <c r="N160" s="235">
        <f t="shared" si="19"/>
        <v>490.00438024170091</v>
      </c>
      <c r="O160" s="235">
        <f>+C153+D154+D155+D156+D157+D158+D159+(D160/2)</f>
        <v>-1</v>
      </c>
      <c r="P160" s="235">
        <f t="shared" si="20"/>
        <v>-1.7452406437283494E-2</v>
      </c>
      <c r="Q160" s="235">
        <f t="shared" si="21"/>
        <v>-8.55175560002737</v>
      </c>
      <c r="R160" s="235">
        <f t="shared" si="22"/>
        <v>278.86261216547871</v>
      </c>
      <c r="S160" s="235">
        <f t="shared" si="33"/>
        <v>270.31085656545133</v>
      </c>
      <c r="T160" s="235">
        <f t="shared" si="6"/>
        <v>270.31085656545133</v>
      </c>
      <c r="U160" s="235"/>
      <c r="V160" s="235">
        <f t="shared" si="7"/>
        <v>0</v>
      </c>
      <c r="W160" s="235"/>
      <c r="X160" s="235"/>
      <c r="Y160" s="235"/>
      <c r="Z160" s="235"/>
      <c r="AA160" s="235"/>
      <c r="AB160" s="235"/>
      <c r="AC160" s="339" t="b">
        <f>IF(AD160=8,AF160)</f>
        <v>0</v>
      </c>
      <c r="AD160" s="339">
        <f t="shared" si="8"/>
        <v>1</v>
      </c>
      <c r="AE160" s="339">
        <f>IF(V160=0,0,8)</f>
        <v>0</v>
      </c>
      <c r="AF160" s="340">
        <f>SUM(V160:V164)/($B$150-B159)</f>
        <v>0</v>
      </c>
      <c r="AG160" s="353">
        <f>SUM(D154:D160)+$C$153</f>
        <v>-1</v>
      </c>
      <c r="AH160" s="342" t="b">
        <f t="shared" si="9"/>
        <v>0</v>
      </c>
      <c r="AI160" s="6">
        <f t="shared" si="23"/>
        <v>53.779595</v>
      </c>
      <c r="AJ160" s="344">
        <f t="shared" si="34"/>
        <v>0.8067499259590819</v>
      </c>
      <c r="AK160" s="6">
        <f t="shared" si="24"/>
        <v>334.49997885066585</v>
      </c>
      <c r="AL160" s="6">
        <f t="shared" si="25"/>
        <v>59.291088500000001</v>
      </c>
      <c r="AM160" s="345">
        <f t="shared" si="26"/>
        <v>0.85977285389573432</v>
      </c>
      <c r="AN160" s="6">
        <f t="shared" si="27"/>
        <v>412.49502763654965</v>
      </c>
      <c r="AO160" s="346">
        <f t="shared" si="10"/>
        <v>-15.958458840569129</v>
      </c>
      <c r="AP160" s="980">
        <f t="shared" si="35"/>
        <v>-432</v>
      </c>
      <c r="AQ160" s="346">
        <f t="shared" si="11"/>
        <v>-371.7</v>
      </c>
      <c r="AR160" s="347">
        <f t="shared" si="28"/>
        <v>746.99500648721551</v>
      </c>
      <c r="AS160" s="348">
        <f t="shared" si="37"/>
        <v>-412.49502763654965</v>
      </c>
      <c r="AT160" s="349">
        <f t="shared" si="29"/>
        <v>396.53656879598054</v>
      </c>
      <c r="AU160" s="348">
        <f t="shared" si="36"/>
        <v>412.49502763654965</v>
      </c>
      <c r="AV160" s="350">
        <f t="shared" si="30"/>
        <v>-174.38590640975252</v>
      </c>
      <c r="AW160" s="350">
        <f t="shared" si="31"/>
        <v>-197.31409359024747</v>
      </c>
      <c r="AX160" s="351">
        <f t="shared" si="12"/>
        <v>-66.519137003787534</v>
      </c>
      <c r="AY160" s="351">
        <f t="shared" si="13"/>
        <v>-58.789515685023254</v>
      </c>
      <c r="AZ160" s="351"/>
      <c r="BA160" s="354">
        <f t="shared" si="14"/>
        <v>66.519137003787534</v>
      </c>
      <c r="BB160" s="354">
        <f t="shared" si="15"/>
        <v>58.789515685023254</v>
      </c>
      <c r="BD160" s="243"/>
      <c r="BF160" s="119"/>
      <c r="BG160" s="119"/>
      <c r="BH160" s="119"/>
      <c r="BI160" s="119"/>
      <c r="BQ160" s="269"/>
      <c r="BR160" s="269"/>
      <c r="BS160" s="269"/>
      <c r="BT160" s="269"/>
      <c r="BU160" s="269"/>
      <c r="BV160" s="269"/>
      <c r="BW160" s="1110"/>
      <c r="BX160" s="1110"/>
      <c r="CI160" s="1104"/>
      <c r="CJ160" s="1104"/>
    </row>
    <row r="161" spans="2:129" ht="19" thickBot="1" x14ac:dyDescent="0.25">
      <c r="B161" s="244">
        <v>9</v>
      </c>
      <c r="C161" s="245"/>
      <c r="D161" s="16">
        <v>0</v>
      </c>
      <c r="E161" s="234" t="s">
        <v>72</v>
      </c>
      <c r="F161" s="235"/>
      <c r="G161" s="235"/>
      <c r="H161" s="7">
        <v>479.77208100000001</v>
      </c>
      <c r="I161" s="7">
        <v>61.416098300000002</v>
      </c>
      <c r="J161" s="235">
        <f t="shared" si="32"/>
        <v>61.416098300000002</v>
      </c>
      <c r="K161" s="235">
        <f t="shared" si="16"/>
        <v>30.708049150000001</v>
      </c>
      <c r="L161" s="235">
        <f t="shared" si="17"/>
        <v>0.51066370850547771</v>
      </c>
      <c r="M161" s="235">
        <f t="shared" si="18"/>
        <v>245.00219012085046</v>
      </c>
      <c r="N161" s="235">
        <f t="shared" si="19"/>
        <v>490.00438024170091</v>
      </c>
      <c r="O161" s="235">
        <f>+C153+D154+D155+D156+D157+D158+D159+D160+(D161/2)</f>
        <v>-1</v>
      </c>
      <c r="P161" s="235">
        <f t="shared" si="20"/>
        <v>-1.7452406437283494E-2</v>
      </c>
      <c r="Q161" s="235">
        <f t="shared" si="21"/>
        <v>-8.55175560002737</v>
      </c>
      <c r="R161" s="235">
        <f t="shared" si="22"/>
        <v>270.31085656545133</v>
      </c>
      <c r="S161" s="235">
        <f t="shared" si="33"/>
        <v>261.75910096542395</v>
      </c>
      <c r="T161" s="235">
        <f t="shared" si="6"/>
        <v>261.75910096542395</v>
      </c>
      <c r="U161" s="235"/>
      <c r="V161" s="235">
        <f t="shared" si="7"/>
        <v>0</v>
      </c>
      <c r="W161" s="235"/>
      <c r="X161" s="235"/>
      <c r="Y161" s="235"/>
      <c r="Z161" s="235"/>
      <c r="AA161" s="235"/>
      <c r="AB161" s="235"/>
      <c r="AC161" s="339" t="b">
        <f>IF(AD161=9,AF161)</f>
        <v>0</v>
      </c>
      <c r="AD161" s="339">
        <f t="shared" si="8"/>
        <v>1</v>
      </c>
      <c r="AE161" s="339">
        <f>IF(V161=0,0,9)</f>
        <v>0</v>
      </c>
      <c r="AF161" s="340">
        <f>SUM(V161:V164)/($B$150-B160)</f>
        <v>0</v>
      </c>
      <c r="AG161" s="353">
        <f>SUM(D154:D161)+$C$153</f>
        <v>-1</v>
      </c>
      <c r="AH161" s="342" t="b">
        <f t="shared" si="9"/>
        <v>0</v>
      </c>
      <c r="AI161" s="6">
        <f t="shared" si="23"/>
        <v>53.779595</v>
      </c>
      <c r="AJ161" s="344">
        <f t="shared" si="34"/>
        <v>0.8067499259590819</v>
      </c>
      <c r="AK161" s="6">
        <f t="shared" si="24"/>
        <v>334.49997885066585</v>
      </c>
      <c r="AL161" s="6">
        <f t="shared" si="25"/>
        <v>59.291088500000001</v>
      </c>
      <c r="AM161" s="345">
        <f t="shared" si="26"/>
        <v>0.85977285389573432</v>
      </c>
      <c r="AN161" s="6">
        <f t="shared" si="27"/>
        <v>412.49502763654965</v>
      </c>
      <c r="AO161" s="346">
        <f t="shared" si="10"/>
        <v>-13.368850915121806</v>
      </c>
      <c r="AP161" s="980">
        <f t="shared" si="35"/>
        <v>-504</v>
      </c>
      <c r="AQ161" s="346">
        <f t="shared" si="11"/>
        <v>-443.7</v>
      </c>
      <c r="AR161" s="347">
        <f t="shared" si="28"/>
        <v>746.99500648721551</v>
      </c>
      <c r="AS161" s="348">
        <f t="shared" si="37"/>
        <v>-412.49502763654965</v>
      </c>
      <c r="AT161" s="349">
        <f t="shared" si="29"/>
        <v>399.12617672142784</v>
      </c>
      <c r="AU161" s="348">
        <f t="shared" si="36"/>
        <v>412.49502763654965</v>
      </c>
      <c r="AV161" s="350">
        <f t="shared" si="30"/>
        <v>-206.62708375109011</v>
      </c>
      <c r="AW161" s="350">
        <f t="shared" si="31"/>
        <v>-237.07291624890988</v>
      </c>
      <c r="AX161" s="351">
        <f t="shared" si="12"/>
        <v>-56.139784724318851</v>
      </c>
      <c r="AY161" s="351">
        <f t="shared" si="13"/>
        <v>-48.930093675571172</v>
      </c>
      <c r="AZ161" s="351"/>
      <c r="BA161" s="354">
        <f t="shared" si="14"/>
        <v>56.139784724318851</v>
      </c>
      <c r="BB161" s="354">
        <f t="shared" si="15"/>
        <v>48.930093675571172</v>
      </c>
      <c r="BD161" s="243"/>
      <c r="BF161" s="119"/>
      <c r="BG161" s="119"/>
      <c r="BH161" s="119"/>
      <c r="BI161" s="119"/>
    </row>
    <row r="162" spans="2:129" ht="19" thickBot="1" x14ac:dyDescent="0.25">
      <c r="B162" s="244">
        <v>10</v>
      </c>
      <c r="C162" s="245"/>
      <c r="D162" s="16">
        <v>0</v>
      </c>
      <c r="E162" s="234" t="s">
        <v>72</v>
      </c>
      <c r="F162" s="235"/>
      <c r="G162" s="235"/>
      <c r="H162" s="7">
        <v>479.77208100000001</v>
      </c>
      <c r="I162" s="7">
        <v>61.416098300000002</v>
      </c>
      <c r="J162" s="235">
        <f t="shared" si="32"/>
        <v>61.416098300000002</v>
      </c>
      <c r="K162" s="235">
        <f t="shared" si="16"/>
        <v>30.708049150000001</v>
      </c>
      <c r="L162" s="235">
        <f t="shared" si="17"/>
        <v>0.51066370850547771</v>
      </c>
      <c r="M162" s="235">
        <f t="shared" si="18"/>
        <v>245.00219012085046</v>
      </c>
      <c r="N162" s="235">
        <f t="shared" si="19"/>
        <v>490.00438024170091</v>
      </c>
      <c r="O162" s="235">
        <f>+C153+D154+D155+D156+D157+D158+D159+D160+D161+(D162/2)</f>
        <v>-1</v>
      </c>
      <c r="P162" s="235">
        <f t="shared" si="20"/>
        <v>-1.7452406437283494E-2</v>
      </c>
      <c r="Q162" s="235">
        <f t="shared" si="21"/>
        <v>-8.55175560002737</v>
      </c>
      <c r="R162" s="235">
        <f t="shared" si="22"/>
        <v>261.75910096542395</v>
      </c>
      <c r="S162" s="235">
        <f t="shared" si="33"/>
        <v>253.20734536539658</v>
      </c>
      <c r="T162" s="235">
        <f t="shared" si="6"/>
        <v>253.20734536539658</v>
      </c>
      <c r="U162" s="235"/>
      <c r="V162" s="235">
        <f t="shared" si="7"/>
        <v>0</v>
      </c>
      <c r="W162" s="235"/>
      <c r="X162" s="235"/>
      <c r="Y162" s="235"/>
      <c r="Z162" s="235"/>
      <c r="AA162" s="235"/>
      <c r="AB162" s="235"/>
      <c r="AC162" s="339" t="b">
        <f>IF(AD162=10,AF162)</f>
        <v>0</v>
      </c>
      <c r="AD162" s="339">
        <f t="shared" si="8"/>
        <v>1</v>
      </c>
      <c r="AE162" s="339">
        <f>IF(V162=0,0,10)</f>
        <v>0</v>
      </c>
      <c r="AF162" s="340">
        <f>SUM(V162:V164)/($B$150-B161)</f>
        <v>0</v>
      </c>
      <c r="AG162" s="353">
        <f>SUM(D154:D162)+$C$153</f>
        <v>-1</v>
      </c>
      <c r="AH162" s="342" t="b">
        <f t="shared" si="9"/>
        <v>0</v>
      </c>
      <c r="AI162" s="6">
        <f t="shared" si="23"/>
        <v>53.779595</v>
      </c>
      <c r="AJ162" s="344">
        <f t="shared" si="34"/>
        <v>0.8067499259590819</v>
      </c>
      <c r="AK162" s="6">
        <f t="shared" si="24"/>
        <v>334.49997885066585</v>
      </c>
      <c r="AL162" s="6">
        <f t="shared" si="25"/>
        <v>59.291088500000001</v>
      </c>
      <c r="AM162" s="345">
        <f t="shared" si="26"/>
        <v>0.85977285389573432</v>
      </c>
      <c r="AN162" s="6">
        <f t="shared" si="27"/>
        <v>412.49502763654965</v>
      </c>
      <c r="AO162" s="346">
        <f t="shared" si="10"/>
        <v>-11.502344679153664</v>
      </c>
      <c r="AP162" s="980">
        <f t="shared" si="35"/>
        <v>-576</v>
      </c>
      <c r="AQ162" s="346">
        <f t="shared" si="11"/>
        <v>-515.70000000000005</v>
      </c>
      <c r="AR162" s="347">
        <f t="shared" si="28"/>
        <v>746.99500648721551</v>
      </c>
      <c r="AS162" s="348">
        <f t="shared" si="37"/>
        <v>-412.49502763654965</v>
      </c>
      <c r="AT162" s="349">
        <f t="shared" si="29"/>
        <v>400.99268295739597</v>
      </c>
      <c r="AU162" s="348">
        <f t="shared" si="36"/>
        <v>412.49502763654965</v>
      </c>
      <c r="AV162" s="350">
        <f t="shared" si="30"/>
        <v>-238.86826109242773</v>
      </c>
      <c r="AW162" s="350">
        <f t="shared" si="31"/>
        <v>-276.83173890757229</v>
      </c>
      <c r="AX162" s="351">
        <f t="shared" si="12"/>
        <v>-48.56233283965463</v>
      </c>
      <c r="AY162" s="351">
        <f t="shared" si="13"/>
        <v>-41.902709731823677</v>
      </c>
      <c r="AZ162" s="351"/>
      <c r="BA162" s="354">
        <f t="shared" si="14"/>
        <v>48.56233283965463</v>
      </c>
      <c r="BB162" s="354">
        <f t="shared" si="15"/>
        <v>41.902709731823677</v>
      </c>
      <c r="BD162" s="243"/>
      <c r="BF162" s="119"/>
      <c r="BG162" s="119"/>
      <c r="BH162" s="119"/>
      <c r="BI162" s="119"/>
    </row>
    <row r="163" spans="2:129" ht="19" hidden="1" thickBot="1" x14ac:dyDescent="0.25">
      <c r="B163" s="244">
        <v>11</v>
      </c>
      <c r="C163" s="245"/>
      <c r="D163" s="16">
        <v>0</v>
      </c>
      <c r="E163" s="234" t="s">
        <v>72</v>
      </c>
      <c r="F163" s="235"/>
      <c r="G163" s="235"/>
      <c r="H163" s="7">
        <v>479.77208100000001</v>
      </c>
      <c r="I163" s="7">
        <v>61.416098300000002</v>
      </c>
      <c r="J163" s="235">
        <f t="shared" si="32"/>
        <v>61.416098300000002</v>
      </c>
      <c r="K163" s="235">
        <f t="shared" si="16"/>
        <v>30.708049150000001</v>
      </c>
      <c r="L163" s="235">
        <f t="shared" si="17"/>
        <v>0.51066370850547771</v>
      </c>
      <c r="M163" s="235">
        <f t="shared" si="18"/>
        <v>245.00219012085046</v>
      </c>
      <c r="N163" s="235">
        <f t="shared" si="19"/>
        <v>490.00438024170091</v>
      </c>
      <c r="O163" s="235">
        <f>+C153+D154+D155+D156+D157+D158+D159+D160+D161+D162+(D163/2)</f>
        <v>-1</v>
      </c>
      <c r="P163" s="235">
        <f t="shared" si="20"/>
        <v>-1.7452406437283494E-2</v>
      </c>
      <c r="Q163" s="235">
        <f t="shared" si="21"/>
        <v>-8.55175560002737</v>
      </c>
      <c r="R163" s="235">
        <f t="shared" si="22"/>
        <v>253.20734536539658</v>
      </c>
      <c r="S163" s="235">
        <f t="shared" si="33"/>
        <v>244.6555897653692</v>
      </c>
      <c r="T163" s="235">
        <f t="shared" si="6"/>
        <v>244.6555897653692</v>
      </c>
      <c r="U163" s="235"/>
      <c r="V163" s="235">
        <f t="shared" si="7"/>
        <v>0</v>
      </c>
      <c r="W163" s="235"/>
      <c r="X163" s="235"/>
      <c r="Y163" s="235"/>
      <c r="Z163" s="235"/>
      <c r="AA163" s="235"/>
      <c r="AB163" s="235"/>
      <c r="AC163" s="339" t="b">
        <f>IF(AD163=11,AF163)</f>
        <v>0</v>
      </c>
      <c r="AD163" s="339">
        <f t="shared" si="8"/>
        <v>1</v>
      </c>
      <c r="AE163" s="339">
        <f>IF(V163=0,0,11)</f>
        <v>0</v>
      </c>
      <c r="AF163" s="340">
        <f>SUM(V163:V164)/($B$150-B162)</f>
        <v>0</v>
      </c>
      <c r="AG163" s="353">
        <f>SUM(D154:D163)+$C$153</f>
        <v>-1</v>
      </c>
      <c r="AH163" s="342" t="b">
        <f t="shared" si="9"/>
        <v>0</v>
      </c>
      <c r="AI163" s="6">
        <f t="shared" si="23"/>
        <v>53.779595</v>
      </c>
      <c r="AJ163" s="344">
        <f t="shared" si="34"/>
        <v>0.8067499259590819</v>
      </c>
      <c r="AK163" s="6">
        <f t="shared" si="24"/>
        <v>334.49997885066585</v>
      </c>
      <c r="AL163" s="6">
        <f t="shared" si="25"/>
        <v>59.291088500000001</v>
      </c>
      <c r="AM163" s="345">
        <f t="shared" si="26"/>
        <v>0.85977285389573432</v>
      </c>
      <c r="AN163" s="6">
        <f t="shared" si="27"/>
        <v>412.49502763654965</v>
      </c>
      <c r="AO163" s="346">
        <f t="shared" si="10"/>
        <v>-10.093175346332389</v>
      </c>
      <c r="AP163" s="980">
        <f t="shared" si="35"/>
        <v>-648</v>
      </c>
      <c r="AQ163" s="346">
        <f t="shared" si="11"/>
        <v>-587.70000000000005</v>
      </c>
      <c r="AR163" s="347">
        <f t="shared" si="28"/>
        <v>746.99500648721551</v>
      </c>
      <c r="AS163" s="348">
        <f t="shared" si="37"/>
        <v>-412.49502763654965</v>
      </c>
      <c r="AT163" s="349">
        <f t="shared" si="29"/>
        <v>402.40185229021728</v>
      </c>
      <c r="AU163" s="348">
        <f t="shared" si="36"/>
        <v>412.49502763654965</v>
      </c>
      <c r="AV163" s="350">
        <f t="shared" si="30"/>
        <v>-271.10943843376532</v>
      </c>
      <c r="AW163" s="350">
        <f t="shared" si="31"/>
        <v>-316.59056156623473</v>
      </c>
      <c r="AX163" s="351">
        <f t="shared" si="12"/>
        <v>-42.787149230269215</v>
      </c>
      <c r="AY163" s="351">
        <f t="shared" si="13"/>
        <v>-36.640384800521396</v>
      </c>
      <c r="AZ163" s="351"/>
      <c r="BA163" s="354">
        <f t="shared" si="14"/>
        <v>42.787149230269215</v>
      </c>
      <c r="BB163" s="354">
        <f t="shared" si="15"/>
        <v>36.640384800521396</v>
      </c>
      <c r="BD163" s="243"/>
      <c r="BF163" s="119"/>
      <c r="BG163" s="119"/>
      <c r="BH163" s="119"/>
      <c r="BI163" s="119"/>
    </row>
    <row r="164" spans="2:129" ht="19" hidden="1" thickBot="1" x14ac:dyDescent="0.25">
      <c r="B164" s="244">
        <v>12</v>
      </c>
      <c r="C164" s="245"/>
      <c r="D164" s="16">
        <v>0</v>
      </c>
      <c r="E164" s="234" t="s">
        <v>72</v>
      </c>
      <c r="F164" s="235"/>
      <c r="G164" s="235"/>
      <c r="H164" s="7">
        <v>479.77208100000001</v>
      </c>
      <c r="I164" s="7">
        <v>61.416098300000002</v>
      </c>
      <c r="J164" s="235">
        <f t="shared" si="32"/>
        <v>61.416098300000002</v>
      </c>
      <c r="K164" s="235">
        <f t="shared" si="16"/>
        <v>30.708049150000001</v>
      </c>
      <c r="L164" s="235">
        <f t="shared" si="17"/>
        <v>0.51066370850547771</v>
      </c>
      <c r="M164" s="235">
        <f t="shared" si="18"/>
        <v>245.00219012085046</v>
      </c>
      <c r="N164" s="235">
        <f t="shared" si="19"/>
        <v>490.00438024170091</v>
      </c>
      <c r="O164" s="235">
        <f>+C153+D154+D155+D156+D157+D158+D159+D160+D161+D162+D163+(D164/2)</f>
        <v>-1</v>
      </c>
      <c r="P164" s="235">
        <f t="shared" si="20"/>
        <v>-1.7452406437283494E-2</v>
      </c>
      <c r="Q164" s="235">
        <f t="shared" si="21"/>
        <v>-8.55175560002737</v>
      </c>
      <c r="R164" s="235">
        <f t="shared" si="22"/>
        <v>244.6555897653692</v>
      </c>
      <c r="S164" s="235">
        <f t="shared" si="33"/>
        <v>236.10383416534182</v>
      </c>
      <c r="T164" s="235">
        <f t="shared" si="6"/>
        <v>236.10383416534182</v>
      </c>
      <c r="U164" s="235"/>
      <c r="V164" s="235">
        <f t="shared" si="7"/>
        <v>0</v>
      </c>
      <c r="W164" s="235"/>
      <c r="X164" s="235"/>
      <c r="Y164" s="235"/>
      <c r="Z164" s="235"/>
      <c r="AA164" s="235"/>
      <c r="AB164" s="235"/>
      <c r="AC164" s="339" t="b">
        <f>IF(AD164=12,AF164)</f>
        <v>0</v>
      </c>
      <c r="AD164" s="339">
        <f t="shared" si="8"/>
        <v>1</v>
      </c>
      <c r="AE164" s="339">
        <f>IF(V164=0,0,12)</f>
        <v>0</v>
      </c>
      <c r="AF164" s="340">
        <f>SUM(V164)/($B$150-B163)</f>
        <v>0</v>
      </c>
      <c r="AG164" s="353">
        <f>SUM(D154:D164)+$C$153</f>
        <v>-1</v>
      </c>
      <c r="AH164" s="342" t="b">
        <f t="shared" si="9"/>
        <v>0</v>
      </c>
      <c r="AI164" s="6">
        <f t="shared" si="23"/>
        <v>53.779595</v>
      </c>
      <c r="AJ164" s="344">
        <f t="shared" si="34"/>
        <v>0.8067499259590819</v>
      </c>
      <c r="AK164" s="6">
        <f t="shared" si="24"/>
        <v>334.49997885066585</v>
      </c>
      <c r="AL164" s="6">
        <f t="shared" si="25"/>
        <v>59.291088500000001</v>
      </c>
      <c r="AM164" s="345">
        <f t="shared" si="26"/>
        <v>0.85977285389573432</v>
      </c>
      <c r="AN164" s="6">
        <f t="shared" si="27"/>
        <v>412.49502763654965</v>
      </c>
      <c r="AO164" s="346">
        <f t="shared" si="10"/>
        <v>-8.9916009565553203</v>
      </c>
      <c r="AP164" s="980">
        <f t="shared" si="35"/>
        <v>-720</v>
      </c>
      <c r="AQ164" s="346">
        <f t="shared" si="11"/>
        <v>-659.7</v>
      </c>
      <c r="AR164" s="347">
        <f t="shared" si="28"/>
        <v>746.99500648721551</v>
      </c>
      <c r="AS164" s="348">
        <f t="shared" si="37"/>
        <v>-412.49502763654965</v>
      </c>
      <c r="AT164" s="349">
        <f t="shared" si="29"/>
        <v>403.50342667999433</v>
      </c>
      <c r="AU164" s="348">
        <f t="shared" si="36"/>
        <v>412.49502763654965</v>
      </c>
      <c r="AV164" s="350">
        <f t="shared" si="30"/>
        <v>-303.35061577510294</v>
      </c>
      <c r="AW164" s="350">
        <f t="shared" si="31"/>
        <v>-356.34938422489711</v>
      </c>
      <c r="AX164" s="351">
        <f t="shared" si="12"/>
        <v>-38.239579538549442</v>
      </c>
      <c r="AY164" s="351">
        <f t="shared" si="13"/>
        <v>-32.552322281211175</v>
      </c>
      <c r="AZ164" s="351"/>
      <c r="BA164" s="354">
        <f t="shared" si="14"/>
        <v>38.239579538549442</v>
      </c>
      <c r="BB164" s="354">
        <f t="shared" si="15"/>
        <v>32.552322281211175</v>
      </c>
      <c r="BD164" s="243"/>
      <c r="BF164" s="119"/>
      <c r="BG164" s="119"/>
      <c r="BH164" s="119"/>
      <c r="BI164" s="119"/>
    </row>
    <row r="165" spans="2:129" ht="19" thickBot="1" x14ac:dyDescent="0.25">
      <c r="U165" s="243"/>
      <c r="AG165" s="355" t="s">
        <v>71</v>
      </c>
      <c r="AH165" s="356">
        <f>MAX(AH153:AH164)</f>
        <v>-1</v>
      </c>
      <c r="BD165" s="243"/>
      <c r="BF165" s="119"/>
      <c r="BG165" s="119"/>
      <c r="BH165" s="119"/>
      <c r="BI165" s="119"/>
      <c r="DF165" s="267"/>
      <c r="DG165" s="267"/>
      <c r="DH165" s="267"/>
      <c r="DI165" s="267"/>
      <c r="DJ165" s="267"/>
      <c r="DK165" s="267"/>
      <c r="DL165" s="1109"/>
      <c r="DM165" s="1109"/>
      <c r="DN165" s="1109"/>
      <c r="DO165" s="109"/>
    </row>
    <row r="166" spans="2:129" ht="26" hidden="1" thickBot="1" x14ac:dyDescent="0.3">
      <c r="U166" s="243"/>
      <c r="AG166" s="655"/>
      <c r="AH166" s="342"/>
      <c r="AK166" s="686" t="s">
        <v>143</v>
      </c>
      <c r="AL166" s="687"/>
      <c r="AM166" s="687"/>
      <c r="AN166" s="687"/>
      <c r="AO166" s="688"/>
      <c r="BD166" s="243"/>
      <c r="BF166" s="119"/>
      <c r="BG166" s="119"/>
      <c r="BH166" s="119"/>
      <c r="BI166" s="119"/>
      <c r="DF166" s="267"/>
      <c r="DG166" s="267"/>
      <c r="DH166" s="267"/>
      <c r="DI166" s="267"/>
      <c r="DJ166" s="267"/>
      <c r="DK166" s="267"/>
      <c r="DL166" s="276"/>
      <c r="DM166" s="276"/>
      <c r="DN166" s="276"/>
      <c r="DO166" s="109"/>
    </row>
    <row r="167" spans="2:129" ht="97" hidden="1" thickBot="1" x14ac:dyDescent="0.3">
      <c r="U167" s="243"/>
      <c r="AG167" s="655"/>
      <c r="AH167" s="342"/>
      <c r="AK167" s="657" t="s">
        <v>129</v>
      </c>
      <c r="AL167" s="658" t="s">
        <v>130</v>
      </c>
      <c r="AM167" s="658" t="s">
        <v>131</v>
      </c>
      <c r="AN167" s="659" t="s">
        <v>135</v>
      </c>
      <c r="AO167" s="660"/>
      <c r="BD167" s="243"/>
      <c r="BF167" s="119"/>
      <c r="BG167" s="119"/>
      <c r="BH167" s="119"/>
      <c r="BI167" s="119"/>
      <c r="DF167" s="267"/>
      <c r="DG167" s="267"/>
      <c r="DH167" s="267"/>
      <c r="DI167" s="267"/>
      <c r="DJ167" s="267"/>
      <c r="DK167" s="267"/>
      <c r="DL167" s="276"/>
      <c r="DM167" s="276"/>
      <c r="DN167" s="276"/>
      <c r="DO167" s="109"/>
    </row>
    <row r="168" spans="2:129" ht="24" hidden="1" thickBot="1" x14ac:dyDescent="0.3">
      <c r="U168" s="243"/>
      <c r="AG168" s="655"/>
      <c r="AH168" s="342"/>
      <c r="AK168" s="661">
        <v>6.8623010000000004</v>
      </c>
      <c r="AL168" s="662">
        <f>+(AH165*-1)-AK168</f>
        <v>-5.8623010000000004</v>
      </c>
      <c r="AM168" s="663">
        <f>COS(AL168*3.14159265358979/180)</f>
        <v>0.99477023637316297</v>
      </c>
      <c r="AN168" s="689">
        <f>+AM168*378.71303</f>
        <v>376.73245037069677</v>
      </c>
      <c r="AO168" s="664"/>
      <c r="BD168" s="243"/>
      <c r="BF168" s="119"/>
      <c r="BG168" s="119"/>
      <c r="BH168" s="119"/>
      <c r="BI168" s="119"/>
      <c r="DF168" s="267"/>
      <c r="DG168" s="267"/>
      <c r="DH168" s="267"/>
      <c r="DI168" s="267"/>
      <c r="DJ168" s="267"/>
      <c r="DK168" s="267"/>
      <c r="DL168" s="276"/>
      <c r="DM168" s="276"/>
      <c r="DN168" s="276"/>
      <c r="DO168" s="109"/>
    </row>
    <row r="169" spans="2:129" ht="26" hidden="1" thickBot="1" x14ac:dyDescent="0.3">
      <c r="B169" s="286"/>
      <c r="U169" s="243"/>
      <c r="AK169" s="685" t="s">
        <v>142</v>
      </c>
      <c r="AL169" s="690"/>
      <c r="AM169" s="690"/>
      <c r="AN169" s="690"/>
      <c r="AO169" s="691"/>
      <c r="BD169" s="243"/>
      <c r="BF169" s="119"/>
      <c r="BG169" s="119"/>
      <c r="BH169" s="119"/>
      <c r="BI169" s="119"/>
      <c r="BJ169" s="119"/>
      <c r="BL169" s="119"/>
      <c r="BM169" s="119"/>
      <c r="DL169" s="268"/>
      <c r="DY169" s="268"/>
    </row>
    <row r="170" spans="2:129" ht="144" hidden="1" x14ac:dyDescent="0.25">
      <c r="B170" s="286"/>
      <c r="AB170" s="318"/>
      <c r="AC170" s="318"/>
      <c r="AD170" s="318"/>
      <c r="AE170" s="318"/>
      <c r="AK170" s="692"/>
      <c r="AL170" s="658" t="s">
        <v>147</v>
      </c>
      <c r="AM170" s="658" t="s">
        <v>146</v>
      </c>
      <c r="AN170" s="659" t="s">
        <v>145</v>
      </c>
      <c r="AO170" s="961" t="s">
        <v>144</v>
      </c>
      <c r="BF170" s="119"/>
      <c r="BG170" s="119"/>
      <c r="BH170" s="119"/>
      <c r="BI170" s="119"/>
      <c r="BJ170" s="119"/>
      <c r="BK170" s="119"/>
      <c r="BL170" s="119"/>
      <c r="BM170" s="119"/>
      <c r="DF170" s="269"/>
      <c r="DG170" s="269"/>
      <c r="DH170" s="269"/>
      <c r="DI170" s="269"/>
      <c r="DJ170" s="269"/>
      <c r="DK170" s="269"/>
      <c r="DL170" s="1110"/>
      <c r="DM170" s="1110"/>
      <c r="DX170" s="1104"/>
      <c r="DY170" s="1104"/>
    </row>
    <row r="171" spans="2:129" ht="24" hidden="1" thickBot="1" x14ac:dyDescent="0.3">
      <c r="V171" s="170"/>
      <c r="W171" s="170"/>
      <c r="X171" s="170"/>
      <c r="Y171" s="170"/>
      <c r="Z171" s="170"/>
      <c r="AA171" s="170"/>
      <c r="AB171" s="170"/>
      <c r="AC171" s="170"/>
      <c r="AD171" s="170"/>
      <c r="AE171" s="170"/>
      <c r="AF171" s="170"/>
      <c r="AG171" s="170"/>
      <c r="AH171" s="170"/>
      <c r="AI171" s="170"/>
      <c r="AJ171" s="170"/>
      <c r="AK171" s="693"/>
      <c r="AL171" s="665">
        <f>+AH165</f>
        <v>-1</v>
      </c>
      <c r="AM171" s="666">
        <f>SIN(AL171*3.14159265358979/180)</f>
        <v>-1.7452406437283494E-2</v>
      </c>
      <c r="AN171" s="667">
        <f>+AM171*((+B150*491.5)+119+119)</f>
        <v>-12.731530495998308</v>
      </c>
      <c r="AO171" s="962">
        <f>+AN168+AN171</f>
        <v>364.00091987469847</v>
      </c>
      <c r="AP171" s="170"/>
      <c r="AQ171" s="170"/>
      <c r="AR171" s="170"/>
      <c r="AS171" s="170"/>
      <c r="AT171" s="170"/>
      <c r="AU171" s="170"/>
      <c r="AV171" s="170"/>
      <c r="AW171" s="170"/>
      <c r="AX171" s="170"/>
      <c r="AY171" s="170"/>
      <c r="AZ171" s="170"/>
      <c r="BA171" s="170"/>
      <c r="BB171" s="170"/>
      <c r="BC171" s="109"/>
      <c r="BF171" s="119"/>
      <c r="BG171" s="119"/>
      <c r="BH171" s="119"/>
      <c r="BI171" s="119"/>
      <c r="BJ171" s="119"/>
      <c r="BK171" s="119"/>
      <c r="BL171" s="119"/>
      <c r="BM171" s="119"/>
    </row>
    <row r="172" spans="2:129" ht="19" hidden="1" thickBot="1" x14ac:dyDescent="0.25">
      <c r="V172" s="170"/>
      <c r="W172" s="170"/>
      <c r="X172" s="170"/>
      <c r="Y172" s="170"/>
      <c r="Z172" s="170"/>
      <c r="AA172" s="170"/>
      <c r="AB172" s="170"/>
      <c r="AC172" s="170"/>
      <c r="AD172" s="170"/>
      <c r="AE172" s="170"/>
      <c r="AF172" s="170"/>
      <c r="AG172" s="170"/>
      <c r="AH172" s="170"/>
      <c r="AI172" s="170"/>
      <c r="AJ172" s="170"/>
      <c r="AK172" s="170"/>
      <c r="AL172" s="170"/>
      <c r="AM172" s="170"/>
      <c r="AN172" s="170"/>
      <c r="AO172" s="170"/>
      <c r="AP172" s="170"/>
      <c r="AQ172" s="170"/>
      <c r="AR172" s="170"/>
      <c r="AS172" s="170"/>
      <c r="AT172" s="170"/>
      <c r="AU172" s="170"/>
      <c r="AV172" s="170"/>
      <c r="AW172" s="170"/>
      <c r="AX172" s="170"/>
      <c r="AY172" s="170"/>
      <c r="AZ172" s="170"/>
      <c r="BA172" s="170"/>
      <c r="BB172" s="170"/>
      <c r="BC172" s="109"/>
      <c r="BF172" s="119"/>
      <c r="BG172" s="119"/>
      <c r="BH172" s="119"/>
      <c r="BI172" s="119"/>
      <c r="BJ172" s="119"/>
      <c r="BK172" s="119"/>
      <c r="BL172" s="119"/>
      <c r="BM172" s="119"/>
    </row>
    <row r="173" spans="2:129" ht="63.75" customHeight="1" thickBot="1" x14ac:dyDescent="0.25">
      <c r="B173" s="284" t="s">
        <v>228</v>
      </c>
      <c r="C173" s="357"/>
      <c r="D173" s="358"/>
      <c r="E173" s="26"/>
      <c r="F173" s="26"/>
      <c r="G173" s="26"/>
      <c r="H173" s="359"/>
      <c r="I173" s="359"/>
      <c r="J173" s="359"/>
      <c r="K173" s="359"/>
      <c r="L173" s="359"/>
      <c r="M173" s="359"/>
      <c r="N173" s="359"/>
      <c r="O173" s="359"/>
      <c r="P173" s="359"/>
      <c r="Q173" s="359"/>
      <c r="R173" s="359"/>
      <c r="S173" s="984" t="s">
        <v>239</v>
      </c>
      <c r="T173" s="985">
        <f>SUM(V177:V202)/B174</f>
        <v>211.0008</v>
      </c>
      <c r="U173" s="195"/>
      <c r="V173" s="170"/>
      <c r="W173" s="170"/>
      <c r="X173" s="170"/>
      <c r="Y173" s="170"/>
      <c r="Z173" s="170"/>
      <c r="AA173" s="170"/>
      <c r="AB173" s="170"/>
      <c r="AC173" s="170"/>
      <c r="AD173" s="170"/>
      <c r="AE173" s="170"/>
      <c r="AF173" s="170"/>
      <c r="AG173" s="170"/>
      <c r="AH173" s="170"/>
      <c r="AI173" s="170"/>
      <c r="AJ173" s="170"/>
      <c r="AK173" s="170"/>
      <c r="AL173" s="170"/>
      <c r="AM173" s="170"/>
      <c r="AN173" s="170"/>
      <c r="AO173" s="170"/>
      <c r="AP173" s="170"/>
      <c r="AQ173" s="170"/>
      <c r="AR173" s="170"/>
      <c r="AS173" s="170"/>
      <c r="AT173" s="170"/>
      <c r="AU173" s="170"/>
      <c r="AV173" s="170"/>
      <c r="AW173" s="170"/>
      <c r="AX173" s="170"/>
      <c r="AY173" s="170"/>
      <c r="AZ173" s="170"/>
      <c r="BA173" s="170"/>
      <c r="BB173" s="170"/>
      <c r="BC173" s="109"/>
      <c r="BD173" s="361"/>
      <c r="BE173" s="361"/>
      <c r="BF173" s="119"/>
      <c r="BG173" s="119"/>
      <c r="BH173" s="119"/>
      <c r="BI173" s="119"/>
      <c r="BJ173" s="119"/>
      <c r="BK173" s="119"/>
      <c r="BL173" s="119"/>
      <c r="BM173" s="119"/>
    </row>
    <row r="174" spans="2:129" ht="30.75" customHeight="1" thickBot="1" x14ac:dyDescent="0.3">
      <c r="B174" s="17">
        <v>1</v>
      </c>
      <c r="C174" s="199"/>
      <c r="D174" s="362" t="s">
        <v>214</v>
      </c>
      <c r="E174" s="277"/>
      <c r="F174" s="277"/>
      <c r="G174" s="277"/>
      <c r="H174" s="902" t="s">
        <v>227</v>
      </c>
      <c r="I174" s="902" t="s">
        <v>216</v>
      </c>
      <c r="J174" s="363"/>
      <c r="K174" s="363"/>
      <c r="L174" s="363"/>
      <c r="M174" s="363"/>
      <c r="N174" s="363"/>
      <c r="O174" s="363"/>
      <c r="P174" s="363"/>
      <c r="Q174" s="363"/>
      <c r="R174" s="363"/>
      <c r="S174" s="364"/>
      <c r="T174" s="365"/>
      <c r="U174" s="304"/>
      <c r="V174" s="366"/>
      <c r="W174" s="366"/>
      <c r="X174" s="366"/>
      <c r="Y174" s="366"/>
      <c r="Z174" s="366"/>
      <c r="AA174" s="366"/>
      <c r="AB174" s="366"/>
      <c r="AC174" s="366"/>
      <c r="AD174" s="366"/>
      <c r="AE174" s="366"/>
      <c r="AF174" s="366"/>
      <c r="AG174" s="366"/>
      <c r="AH174" s="366"/>
      <c r="AI174" s="366"/>
      <c r="AJ174" s="366"/>
      <c r="AK174" s="366"/>
      <c r="AL174" s="366"/>
      <c r="AM174" s="366"/>
      <c r="AN174" s="366"/>
      <c r="AO174" s="366"/>
      <c r="AP174" s="366"/>
      <c r="AQ174" s="366"/>
      <c r="AR174" s="366"/>
      <c r="AS174" s="366"/>
      <c r="AT174" s="366"/>
      <c r="AU174" s="366"/>
      <c r="AV174" s="366"/>
      <c r="AW174" s="366"/>
      <c r="AX174" s="366"/>
      <c r="AY174" s="366"/>
      <c r="AZ174" s="366"/>
      <c r="BA174" s="1115" t="s">
        <v>46</v>
      </c>
      <c r="BB174" s="1116"/>
      <c r="BC174" s="201"/>
      <c r="BD174" s="127"/>
      <c r="BE174" s="127"/>
      <c r="BF174" s="119"/>
      <c r="BG174" s="119"/>
      <c r="BH174" s="119"/>
      <c r="BI174" s="119"/>
      <c r="BJ174" s="119"/>
      <c r="BK174" s="119"/>
      <c r="BL174" s="119"/>
      <c r="BM174" s="119"/>
    </row>
    <row r="175" spans="2:129" ht="87" hidden="1" thickBot="1" x14ac:dyDescent="0.3">
      <c r="C175" s="319"/>
      <c r="D175" s="287" t="s">
        <v>13</v>
      </c>
      <c r="H175" s="903" t="s">
        <v>4</v>
      </c>
      <c r="I175" s="904" t="s">
        <v>1</v>
      </c>
      <c r="J175" s="359" t="s">
        <v>0</v>
      </c>
      <c r="K175" s="359" t="s">
        <v>2</v>
      </c>
      <c r="L175" s="359" t="s">
        <v>3</v>
      </c>
      <c r="M175" s="359" t="s">
        <v>8</v>
      </c>
      <c r="N175" s="359" t="s">
        <v>5</v>
      </c>
      <c r="O175" s="359" t="s">
        <v>6</v>
      </c>
      <c r="P175" s="359" t="s">
        <v>7</v>
      </c>
      <c r="Q175" s="359" t="s">
        <v>9</v>
      </c>
      <c r="R175" s="367" t="s">
        <v>10</v>
      </c>
      <c r="S175" s="359" t="s">
        <v>11</v>
      </c>
      <c r="T175" s="368" t="s">
        <v>12</v>
      </c>
      <c r="V175" s="323"/>
      <c r="W175" s="323"/>
      <c r="X175" s="323"/>
      <c r="Y175" s="323"/>
      <c r="Z175" s="323"/>
      <c r="AA175" s="323"/>
      <c r="AB175" s="323" t="s">
        <v>248</v>
      </c>
      <c r="AC175" s="323"/>
      <c r="AD175" s="323"/>
      <c r="AE175" s="323"/>
      <c r="AF175" s="323"/>
      <c r="AG175" s="323"/>
      <c r="AH175" s="323"/>
      <c r="AI175" s="901" t="s">
        <v>217</v>
      </c>
      <c r="AJ175" s="323"/>
      <c r="AK175" s="901" t="s">
        <v>225</v>
      </c>
      <c r="AL175" s="901" t="s">
        <v>219</v>
      </c>
      <c r="AM175" s="323"/>
      <c r="AN175" s="901" t="s">
        <v>226</v>
      </c>
      <c r="AO175" s="323"/>
      <c r="AP175" s="901" t="s">
        <v>224</v>
      </c>
      <c r="AQ175" s="323"/>
      <c r="AR175" s="323"/>
      <c r="AS175" s="323"/>
      <c r="AT175" s="323"/>
      <c r="AU175" s="323"/>
      <c r="AV175" s="323"/>
      <c r="AW175" s="323"/>
      <c r="AX175" s="318"/>
      <c r="AY175" s="323"/>
      <c r="AZ175" s="323"/>
      <c r="BA175" s="323"/>
      <c r="BB175" s="323"/>
      <c r="BC175" s="212"/>
      <c r="BD175" s="209"/>
      <c r="BF175" s="119"/>
      <c r="BG175" s="119"/>
      <c r="BH175" s="119"/>
      <c r="BI175" s="119"/>
      <c r="BJ175" s="119"/>
      <c r="BK175" s="119"/>
      <c r="BL175" s="119"/>
      <c r="BM175" s="119"/>
    </row>
    <row r="176" spans="2:129" ht="36" customHeight="1" thickBot="1" x14ac:dyDescent="0.25">
      <c r="B176" s="324"/>
      <c r="C176" s="325"/>
      <c r="D176" s="285" t="s">
        <v>20</v>
      </c>
      <c r="E176" s="277"/>
      <c r="F176" s="369"/>
      <c r="G176" s="221"/>
      <c r="H176" s="370"/>
      <c r="I176" s="371"/>
      <c r="R176" s="367"/>
      <c r="T176" s="372"/>
      <c r="V176" s="323"/>
      <c r="W176" s="323"/>
      <c r="X176" s="323"/>
      <c r="Y176" s="323"/>
      <c r="Z176" s="323"/>
      <c r="AA176" s="323"/>
      <c r="AC176" s="323"/>
      <c r="AD176" s="323"/>
      <c r="AE176" s="323"/>
      <c r="AF176" s="964" t="s">
        <v>36</v>
      </c>
      <c r="AG176" s="328" t="s">
        <v>29</v>
      </c>
      <c r="AH176" s="328"/>
      <c r="AI176" s="905" t="s">
        <v>218</v>
      </c>
      <c r="AJ176" s="329" t="s">
        <v>30</v>
      </c>
      <c r="AK176" s="907" t="s">
        <v>31</v>
      </c>
      <c r="AL176" s="905" t="s">
        <v>220</v>
      </c>
      <c r="AM176" s="330" t="s">
        <v>32</v>
      </c>
      <c r="AN176" s="905" t="s">
        <v>33</v>
      </c>
      <c r="AO176" s="330"/>
      <c r="AP176" s="373" t="s">
        <v>34</v>
      </c>
      <c r="AQ176" s="323"/>
      <c r="AR176" s="323" t="s">
        <v>35</v>
      </c>
      <c r="AS176" s="323" t="s">
        <v>37</v>
      </c>
      <c r="AT176" s="323"/>
      <c r="AU176" s="323" t="s">
        <v>38</v>
      </c>
      <c r="AV176" s="332" t="s">
        <v>39</v>
      </c>
      <c r="AW176" s="332" t="s">
        <v>40</v>
      </c>
      <c r="AX176" s="333" t="s">
        <v>21</v>
      </c>
      <c r="AY176" s="333" t="s">
        <v>22</v>
      </c>
      <c r="AZ176" s="333"/>
      <c r="BA176" s="334" t="s">
        <v>21</v>
      </c>
      <c r="BB176" s="334" t="s">
        <v>22</v>
      </c>
      <c r="BD176" s="209"/>
      <c r="BF176" s="119"/>
      <c r="BG176" s="119"/>
      <c r="BH176" s="119"/>
      <c r="BI176" s="119"/>
      <c r="BJ176" s="119"/>
      <c r="BK176" s="119"/>
      <c r="BL176" s="119"/>
      <c r="BM176" s="119"/>
    </row>
    <row r="177" spans="1:134" ht="19" thickBot="1" x14ac:dyDescent="0.25">
      <c r="B177" s="232">
        <v>1</v>
      </c>
      <c r="C177" s="233">
        <f>+AH165+D177</f>
        <v>0</v>
      </c>
      <c r="D177" s="16">
        <v>1</v>
      </c>
      <c r="E177" s="234" t="s">
        <v>106</v>
      </c>
      <c r="F177" s="235"/>
      <c r="G177" s="235">
        <f>+D177</f>
        <v>1</v>
      </c>
      <c r="H177" s="888">
        <v>251.073172</v>
      </c>
      <c r="I177" s="889">
        <v>65.636175100000003</v>
      </c>
      <c r="J177" s="374">
        <f>+I177-C177</f>
        <v>65.636175100000003</v>
      </c>
      <c r="K177" s="374">
        <f>+J177/2</f>
        <v>32.818087550000001</v>
      </c>
      <c r="L177" s="374">
        <f t="shared" ref="L177:L202" si="38">SIN(K177*3.14159265358979/180)</f>
        <v>0.54197353948789428</v>
      </c>
      <c r="M177" s="374">
        <f t="shared" ref="M177:M202" si="39">+L177*H177</f>
        <v>136.07501569929286</v>
      </c>
      <c r="N177" s="374">
        <f t="shared" ref="N177:N202" si="40">+M177*2</f>
        <v>272.15003139858572</v>
      </c>
      <c r="O177" s="374">
        <f>+C177/2</f>
        <v>0</v>
      </c>
      <c r="P177" s="374">
        <f t="shared" ref="P177:P202" si="41">SIN(O177*3.14159265358979/180)</f>
        <v>0</v>
      </c>
      <c r="Q177" s="374">
        <f t="shared" ref="Q177:Q202" si="42">+P177*N177</f>
        <v>0</v>
      </c>
      <c r="R177" s="963">
        <v>211.0008</v>
      </c>
      <c r="S177" s="374">
        <f>+R177+Q177</f>
        <v>211.0008</v>
      </c>
      <c r="T177" s="375">
        <f t="shared" ref="T177:T202" si="43">+S177</f>
        <v>211.0008</v>
      </c>
      <c r="V177" s="929">
        <f t="shared" ref="V177:V202" si="44">IF(B177&lt;($B$174+1),T177,0)</f>
        <v>211.0008</v>
      </c>
      <c r="W177" s="340"/>
      <c r="X177" s="340"/>
      <c r="Y177" s="340"/>
      <c r="Z177" s="340"/>
      <c r="AA177" s="340"/>
      <c r="AB177" s="235" t="str">
        <f>IF(AY177&lt;0,"use the locking pin"," ")</f>
        <v xml:space="preserve"> </v>
      </c>
      <c r="AC177" s="377"/>
      <c r="AD177" s="377"/>
      <c r="AE177" s="377"/>
      <c r="AF177" s="966">
        <f>SUM(V177:V202)/($B$174)</f>
        <v>211.0008</v>
      </c>
      <c r="AG177" s="971">
        <f>C177</f>
        <v>0</v>
      </c>
      <c r="AH177" s="353"/>
      <c r="AI177" s="944">
        <f>75.4990086-AG177</f>
        <v>75.499008599999996</v>
      </c>
      <c r="AJ177" s="575">
        <f t="shared" ref="AJ177:AJ202" si="45">SIN(AI177*3.14159265358979/180)</f>
        <v>0.96814330785934066</v>
      </c>
      <c r="AK177" s="944">
        <f>+AJ177*290.642868</f>
        <v>281.38394763124575</v>
      </c>
      <c r="AL177" s="944">
        <f>57.1819124+AG177</f>
        <v>57.181912400000002</v>
      </c>
      <c r="AM177" s="968">
        <f>SIN(AL177*3.14159265358979/180)</f>
        <v>0.84039555073787342</v>
      </c>
      <c r="AN177" s="944">
        <f>+AM177*251.073172</f>
        <v>211.00077665844481</v>
      </c>
      <c r="AO177" s="969"/>
      <c r="AP177" s="342">
        <f>$C$13*B174</f>
        <v>29.3</v>
      </c>
      <c r="AQ177" s="347"/>
      <c r="AR177" s="347">
        <f>+AN177+AK177</f>
        <v>492.38472428969055</v>
      </c>
      <c r="AS177" s="348">
        <f>+V177-AN177</f>
        <v>2.3341555191791485E-5</v>
      </c>
      <c r="AT177" s="348"/>
      <c r="AU177" s="348">
        <f>+AF177-AS177</f>
        <v>211.00077665844481</v>
      </c>
      <c r="AV177" s="350">
        <f>+((AR177-AU177)/AR177)*AP177</f>
        <v>16.744121535226355</v>
      </c>
      <c r="AW177" s="350">
        <f>+(AU177/AR177)*AP177</f>
        <v>12.555878464773642</v>
      </c>
      <c r="AX177" s="351">
        <f>2*$C$18/AV177</f>
        <v>692.78044689271212</v>
      </c>
      <c r="AY177" s="351">
        <f>$D$18/AW177</f>
        <v>796.43969381000863</v>
      </c>
      <c r="AZ177" s="1043"/>
      <c r="BA177" s="241">
        <f t="shared" ref="BA177:BA197" si="46">ABS(AX177)</f>
        <v>692.78044689271212</v>
      </c>
      <c r="BB177" s="242">
        <f t="shared" ref="BB177:BB197" si="47">ABS(AY177)</f>
        <v>796.43969381000863</v>
      </c>
      <c r="BC177" s="74"/>
      <c r="BD177" s="380"/>
      <c r="BF177" s="119"/>
      <c r="BG177" s="119"/>
      <c r="BH177" s="119"/>
      <c r="BI177" s="119"/>
      <c r="BJ177" s="119"/>
      <c r="BK177" s="119"/>
      <c r="BL177" s="119"/>
      <c r="BM177" s="119"/>
    </row>
    <row r="178" spans="1:134" ht="19" thickBot="1" x14ac:dyDescent="0.25">
      <c r="B178" s="244">
        <v>2</v>
      </c>
      <c r="C178" s="245"/>
      <c r="D178" s="16">
        <v>1</v>
      </c>
      <c r="E178" s="234" t="s">
        <v>215</v>
      </c>
      <c r="F178" s="235"/>
      <c r="G178" s="235">
        <f t="shared" ref="G178:G202" si="48">+D178+BC178</f>
        <v>1</v>
      </c>
      <c r="H178" s="888">
        <v>251.073172</v>
      </c>
      <c r="I178" s="889">
        <v>65.636175100000003</v>
      </c>
      <c r="J178" s="374">
        <f t="shared" ref="J178:J202" si="49">+I178-D178</f>
        <v>64.636175100000003</v>
      </c>
      <c r="K178" s="374">
        <f t="shared" ref="K178:K202" si="50">+J178/2</f>
        <v>32.318087550000001</v>
      </c>
      <c r="L178" s="374">
        <f t="shared" si="38"/>
        <v>0.53461916118589337</v>
      </c>
      <c r="M178" s="374">
        <f t="shared" si="39"/>
        <v>134.22852861092153</v>
      </c>
      <c r="N178" s="374">
        <f t="shared" si="40"/>
        <v>268.45705722184306</v>
      </c>
      <c r="O178" s="374">
        <f>+C177+(D178/2)</f>
        <v>0.5</v>
      </c>
      <c r="P178" s="374">
        <f t="shared" si="41"/>
        <v>8.726535498373926E-3</v>
      </c>
      <c r="Q178" s="374">
        <f t="shared" si="42"/>
        <v>2.3427000396354138</v>
      </c>
      <c r="R178" s="374">
        <f t="shared" ref="R178:R202" si="51">+T177</f>
        <v>211.0008</v>
      </c>
      <c r="S178" s="374">
        <f>+R178+Q178</f>
        <v>213.34350003963542</v>
      </c>
      <c r="T178" s="375">
        <f t="shared" si="43"/>
        <v>213.34350003963542</v>
      </c>
      <c r="V178" s="929">
        <f t="shared" si="44"/>
        <v>0</v>
      </c>
      <c r="W178" s="340"/>
      <c r="X178" s="340"/>
      <c r="Y178" s="340"/>
      <c r="Z178" s="340"/>
      <c r="AA178" s="340"/>
      <c r="AB178" s="247" t="e">
        <f t="shared" ref="AB178:AB202" si="52">IF(AY178&lt;0,"use the locking pin"," ")</f>
        <v>#DIV/0!</v>
      </c>
      <c r="AC178" s="377"/>
      <c r="AD178" s="377"/>
      <c r="AE178" s="377"/>
      <c r="AF178" s="966" t="e">
        <f>SUM(V178:V202)/($B$174-B177)</f>
        <v>#DIV/0!</v>
      </c>
      <c r="AG178" s="971">
        <f>SUM(D178)+$C$177</f>
        <v>1</v>
      </c>
      <c r="AH178" s="353"/>
      <c r="AI178" s="944">
        <f t="shared" ref="AI178:AI202" si="53">75.4990086-AG178</f>
        <v>74.499008599999996</v>
      </c>
      <c r="AJ178" s="575">
        <f t="shared" si="45"/>
        <v>0.96362582898684701</v>
      </c>
      <c r="AK178" s="944">
        <f t="shared" ref="AK178:AK202" si="54">+AJ178*290.642868</f>
        <v>280.07097461561477</v>
      </c>
      <c r="AL178" s="944">
        <f t="shared" ref="AL178:AL202" si="55">57.1819124+AG178</f>
        <v>58.181912400000002</v>
      </c>
      <c r="AM178" s="968">
        <f t="shared" ref="AM178:AM202" si="56">SIN(AL178*3.14159265358979/180)</f>
        <v>0.84972629692714396</v>
      </c>
      <c r="AN178" s="944">
        <f t="shared" ref="AN178:AN202" si="57">+AM178*251.073172</f>
        <v>213.34347670131189</v>
      </c>
      <c r="AO178" s="969"/>
      <c r="AP178" s="251">
        <f>$C$13*($B$174-B177)</f>
        <v>0</v>
      </c>
      <c r="AQ178" s="347"/>
      <c r="AR178" s="347">
        <f t="shared" ref="AR178:AR202" si="58">+AN178+AK178</f>
        <v>493.41445131692666</v>
      </c>
      <c r="AS178" s="348">
        <f>+V178-AN178</f>
        <v>-213.34347670131189</v>
      </c>
      <c r="AT178" s="348"/>
      <c r="AU178" s="348" t="e">
        <f>+AF178-AS178</f>
        <v>#DIV/0!</v>
      </c>
      <c r="AV178" s="350" t="e">
        <f t="shared" ref="AV178:AV202" si="59">+((AR178-AU178)/AR178)*AP178</f>
        <v>#DIV/0!</v>
      </c>
      <c r="AW178" s="350" t="e">
        <f t="shared" ref="AW178:AW202" si="60">+(AU178/AR178)*AP178</f>
        <v>#DIV/0!</v>
      </c>
      <c r="AX178" s="351" t="e">
        <f t="shared" ref="AX178:AX202" si="61">2*$C$18/AV178</f>
        <v>#DIV/0!</v>
      </c>
      <c r="AY178" s="351" t="e">
        <f t="shared" ref="AY178:AY202" si="62">$D$18/AW178</f>
        <v>#DIV/0!</v>
      </c>
      <c r="AZ178" s="1043"/>
      <c r="BA178" s="241" t="e">
        <f t="shared" si="46"/>
        <v>#DIV/0!</v>
      </c>
      <c r="BB178" s="256" t="e">
        <f t="shared" si="47"/>
        <v>#DIV/0!</v>
      </c>
      <c r="BF178" s="119"/>
      <c r="BG178" s="119"/>
      <c r="BH178" s="119"/>
      <c r="BI178" s="119"/>
      <c r="BJ178" s="119"/>
      <c r="BK178" s="119"/>
      <c r="BL178" s="119"/>
      <c r="BM178" s="119"/>
    </row>
    <row r="179" spans="1:134" ht="19" thickBot="1" x14ac:dyDescent="0.25">
      <c r="B179" s="244">
        <v>3</v>
      </c>
      <c r="C179" s="245"/>
      <c r="D179" s="16">
        <v>1</v>
      </c>
      <c r="E179" s="234" t="s">
        <v>215</v>
      </c>
      <c r="F179" s="235"/>
      <c r="G179" s="235">
        <f t="shared" si="48"/>
        <v>1</v>
      </c>
      <c r="H179" s="888">
        <v>251.073172</v>
      </c>
      <c r="I179" s="889">
        <v>65.636175100000003</v>
      </c>
      <c r="J179" s="374">
        <f t="shared" si="49"/>
        <v>64.636175100000003</v>
      </c>
      <c r="K179" s="374">
        <f t="shared" si="50"/>
        <v>32.318087550000001</v>
      </c>
      <c r="L179" s="374">
        <f t="shared" si="38"/>
        <v>0.53461916118589337</v>
      </c>
      <c r="M179" s="374">
        <f t="shared" si="39"/>
        <v>134.22852861092153</v>
      </c>
      <c r="N179" s="374">
        <f t="shared" si="40"/>
        <v>268.45705722184306</v>
      </c>
      <c r="O179" s="374">
        <f>+C177+D178+(D179/2)</f>
        <v>1.5</v>
      </c>
      <c r="P179" s="374">
        <f t="shared" si="41"/>
        <v>2.6176948307873125E-2</v>
      </c>
      <c r="Q179" s="374">
        <f t="shared" si="42"/>
        <v>7.0273865097799231</v>
      </c>
      <c r="R179" s="374">
        <f t="shared" si="51"/>
        <v>213.34350003963542</v>
      </c>
      <c r="S179" s="374">
        <f t="shared" ref="S179:S202" si="63">+S178+Q179</f>
        <v>220.37088654941533</v>
      </c>
      <c r="T179" s="375">
        <f t="shared" si="43"/>
        <v>220.37088654941533</v>
      </c>
      <c r="V179" s="929">
        <f t="shared" si="44"/>
        <v>0</v>
      </c>
      <c r="W179" s="340"/>
      <c r="X179" s="340"/>
      <c r="Y179" s="340"/>
      <c r="Z179" s="340"/>
      <c r="AA179" s="340"/>
      <c r="AB179" s="257" t="str">
        <f t="shared" si="52"/>
        <v>use the locking pin</v>
      </c>
      <c r="AC179" s="377"/>
      <c r="AD179" s="377"/>
      <c r="AE179" s="377"/>
      <c r="AF179" s="966">
        <f>SUM(V179:V202)/($B$174-B178)</f>
        <v>0</v>
      </c>
      <c r="AG179" s="971">
        <f>SUM(D178:D179)+$C$177</f>
        <v>2</v>
      </c>
      <c r="AH179" s="353"/>
      <c r="AI179" s="944">
        <f t="shared" si="53"/>
        <v>73.499008599999996</v>
      </c>
      <c r="AJ179" s="575">
        <f t="shared" si="45"/>
        <v>0.95881482035199095</v>
      </c>
      <c r="AK179" s="944">
        <f t="shared" si="54"/>
        <v>278.67268926800745</v>
      </c>
      <c r="AL179" s="944">
        <f t="shared" si="55"/>
        <v>59.181912400000002</v>
      </c>
      <c r="AM179" s="968">
        <f t="shared" si="56"/>
        <v>0.85879820825488717</v>
      </c>
      <c r="AN179" s="944">
        <f t="shared" si="57"/>
        <v>215.62119025447112</v>
      </c>
      <c r="AO179" s="969"/>
      <c r="AP179" s="251">
        <f t="shared" ref="AP179:AP202" si="64">$C$13*($B$174-B178)</f>
        <v>-29.3</v>
      </c>
      <c r="AQ179" s="347"/>
      <c r="AR179" s="347">
        <f t="shared" si="58"/>
        <v>494.29387952247856</v>
      </c>
      <c r="AS179" s="348">
        <f>+V179-AN179</f>
        <v>-215.62119025447112</v>
      </c>
      <c r="AT179" s="348"/>
      <c r="AU179" s="348">
        <f>+AF179-AS179</f>
        <v>215.62119025447112</v>
      </c>
      <c r="AV179" s="350">
        <f t="shared" si="59"/>
        <v>-16.518735379529016</v>
      </c>
      <c r="AW179" s="350">
        <f t="shared" si="60"/>
        <v>-12.781264620470987</v>
      </c>
      <c r="AX179" s="351">
        <f t="shared" si="61"/>
        <v>-702.23293330162551</v>
      </c>
      <c r="AY179" s="351">
        <f t="shared" si="62"/>
        <v>-782.39519303775296</v>
      </c>
      <c r="AZ179" s="1043"/>
      <c r="BA179" s="241">
        <f t="shared" si="46"/>
        <v>702.23293330162551</v>
      </c>
      <c r="BB179" s="242">
        <f t="shared" si="47"/>
        <v>782.39519303775296</v>
      </c>
      <c r="BF179" s="119"/>
      <c r="BG179" s="119"/>
      <c r="BH179" s="119"/>
      <c r="BI179" s="119"/>
      <c r="BJ179" s="119"/>
      <c r="BK179" s="119"/>
      <c r="BL179" s="119"/>
      <c r="BM179" s="119"/>
    </row>
    <row r="180" spans="1:134" ht="19" thickBot="1" x14ac:dyDescent="0.25">
      <c r="B180" s="244">
        <v>4</v>
      </c>
      <c r="C180" s="245"/>
      <c r="D180" s="16">
        <v>1</v>
      </c>
      <c r="E180" s="234" t="s">
        <v>215</v>
      </c>
      <c r="F180" s="235"/>
      <c r="G180" s="235">
        <f t="shared" si="48"/>
        <v>1</v>
      </c>
      <c r="H180" s="888">
        <v>251.073172</v>
      </c>
      <c r="I180" s="889">
        <v>65.636175100000003</v>
      </c>
      <c r="J180" s="374">
        <f t="shared" si="49"/>
        <v>64.636175100000003</v>
      </c>
      <c r="K180" s="374">
        <f t="shared" si="50"/>
        <v>32.318087550000001</v>
      </c>
      <c r="L180" s="374">
        <f t="shared" si="38"/>
        <v>0.53461916118589337</v>
      </c>
      <c r="M180" s="374">
        <f t="shared" si="39"/>
        <v>134.22852861092153</v>
      </c>
      <c r="N180" s="374">
        <f t="shared" si="40"/>
        <v>268.45705722184306</v>
      </c>
      <c r="O180" s="374">
        <f>+C177+D178+D179+(D180/2)</f>
        <v>2.5</v>
      </c>
      <c r="P180" s="374">
        <f t="shared" si="41"/>
        <v>4.3619387365335958E-2</v>
      </c>
      <c r="Q180" s="374">
        <f t="shared" si="42"/>
        <v>11.709932369917734</v>
      </c>
      <c r="R180" s="374">
        <f t="shared" si="51"/>
        <v>220.37088654941533</v>
      </c>
      <c r="S180" s="374">
        <f t="shared" si="63"/>
        <v>232.08081891933307</v>
      </c>
      <c r="T180" s="375">
        <f t="shared" si="43"/>
        <v>232.08081891933307</v>
      </c>
      <c r="V180" s="929">
        <f t="shared" si="44"/>
        <v>0</v>
      </c>
      <c r="W180" s="340"/>
      <c r="X180" s="340"/>
      <c r="Y180" s="340"/>
      <c r="Z180" s="340"/>
      <c r="AA180" s="340"/>
      <c r="AB180" s="257" t="str">
        <f t="shared" si="52"/>
        <v>use the locking pin</v>
      </c>
      <c r="AC180" s="377"/>
      <c r="AD180" s="377"/>
      <c r="AE180" s="377"/>
      <c r="AF180" s="966">
        <f>SUM(V180:V202)/($B$174-B179)</f>
        <v>0</v>
      </c>
      <c r="AG180" s="971">
        <f>SUM(D178:D180)+$C$177</f>
        <v>3</v>
      </c>
      <c r="AH180" s="353"/>
      <c r="AI180" s="944">
        <f t="shared" si="53"/>
        <v>72.499008599999996</v>
      </c>
      <c r="AJ180" s="575">
        <f t="shared" si="45"/>
        <v>0.95371174743460796</v>
      </c>
      <c r="AK180" s="944">
        <f t="shared" si="54"/>
        <v>277.18951751968609</v>
      </c>
      <c r="AL180" s="944">
        <f t="shared" si="55"/>
        <v>60.181912400000002</v>
      </c>
      <c r="AM180" s="968">
        <f t="shared" si="56"/>
        <v>0.86760852132903066</v>
      </c>
      <c r="AN180" s="944">
        <f t="shared" si="57"/>
        <v>217.83322350430939</v>
      </c>
      <c r="AO180" s="969"/>
      <c r="AP180" s="251">
        <f t="shared" si="64"/>
        <v>-58.6</v>
      </c>
      <c r="AQ180" s="347"/>
      <c r="AR180" s="347">
        <f t="shared" si="58"/>
        <v>495.02274102399548</v>
      </c>
      <c r="AS180" s="348">
        <f>+V180-AN180</f>
        <v>-217.83322350430939</v>
      </c>
      <c r="AT180" s="348"/>
      <c r="AU180" s="348">
        <f t="shared" ref="AU180:AU202" si="65">+AF180-AS180</f>
        <v>217.83322350430939</v>
      </c>
      <c r="AV180" s="350">
        <f t="shared" si="59"/>
        <v>-32.813251554975004</v>
      </c>
      <c r="AW180" s="350">
        <f t="shared" si="60"/>
        <v>-25.786748445025005</v>
      </c>
      <c r="AX180" s="351">
        <f t="shared" si="61"/>
        <v>-353.51571241166005</v>
      </c>
      <c r="AY180" s="351">
        <f t="shared" si="62"/>
        <v>-387.79608143768445</v>
      </c>
      <c r="AZ180" s="1043"/>
      <c r="BA180" s="241">
        <f t="shared" si="46"/>
        <v>353.51571241166005</v>
      </c>
      <c r="BB180" s="242">
        <f t="shared" si="47"/>
        <v>387.79608143768445</v>
      </c>
      <c r="BF180" s="119"/>
      <c r="BG180" s="119"/>
      <c r="BH180" s="119"/>
      <c r="BI180" s="119"/>
      <c r="BJ180" s="119"/>
      <c r="BK180" s="119"/>
      <c r="BQ180" s="109"/>
      <c r="BS180" s="109"/>
      <c r="BU180" s="109"/>
    </row>
    <row r="181" spans="1:134" ht="19" thickBot="1" x14ac:dyDescent="0.25">
      <c r="B181" s="244">
        <v>5</v>
      </c>
      <c r="C181" s="245"/>
      <c r="D181" s="16">
        <v>1</v>
      </c>
      <c r="E181" s="234" t="s">
        <v>215</v>
      </c>
      <c r="F181" s="235"/>
      <c r="G181" s="235">
        <f t="shared" si="48"/>
        <v>1</v>
      </c>
      <c r="H181" s="888">
        <v>251.073172</v>
      </c>
      <c r="I181" s="889">
        <v>65.636175100000003</v>
      </c>
      <c r="J181" s="374">
        <f t="shared" si="49"/>
        <v>64.636175100000003</v>
      </c>
      <c r="K181" s="374">
        <f t="shared" si="50"/>
        <v>32.318087550000001</v>
      </c>
      <c r="L181" s="374">
        <f t="shared" si="38"/>
        <v>0.53461916118589337</v>
      </c>
      <c r="M181" s="374">
        <f t="shared" si="39"/>
        <v>134.22852861092153</v>
      </c>
      <c r="N181" s="374">
        <f t="shared" si="40"/>
        <v>268.45705722184306</v>
      </c>
      <c r="O181" s="374">
        <f>+C177+D178+D179+D180+(D181/2)</f>
        <v>3.5</v>
      </c>
      <c r="P181" s="374">
        <f t="shared" si="41"/>
        <v>6.1048539534856811E-2</v>
      </c>
      <c r="Q181" s="374">
        <f t="shared" si="42"/>
        <v>16.388911271219001</v>
      </c>
      <c r="R181" s="374">
        <f t="shared" si="51"/>
        <v>232.08081891933307</v>
      </c>
      <c r="S181" s="374">
        <f t="shared" si="63"/>
        <v>248.46973019055207</v>
      </c>
      <c r="T181" s="375">
        <f t="shared" si="43"/>
        <v>248.46973019055207</v>
      </c>
      <c r="V181" s="929">
        <f t="shared" si="44"/>
        <v>0</v>
      </c>
      <c r="W181" s="340"/>
      <c r="X181" s="340"/>
      <c r="Y181" s="340"/>
      <c r="Z181" s="340"/>
      <c r="AA181" s="340"/>
      <c r="AB181" s="257" t="str">
        <f>IF(AY181&lt;0,"use the locking pin"," ")</f>
        <v>use the locking pin</v>
      </c>
      <c r="AC181" s="377"/>
      <c r="AD181" s="377"/>
      <c r="AE181" s="377"/>
      <c r="AF181" s="966">
        <f>SUM(V181:V202)/($B$174-B180)</f>
        <v>0</v>
      </c>
      <c r="AG181" s="971">
        <f>SUM(D178:D181)+$C$177</f>
        <v>4</v>
      </c>
      <c r="AH181" s="353"/>
      <c r="AI181" s="944">
        <f t="shared" si="53"/>
        <v>71.499008599999996</v>
      </c>
      <c r="AJ181" s="575">
        <f t="shared" si="45"/>
        <v>0.94831816468014318</v>
      </c>
      <c r="AK181" s="944">
        <f t="shared" si="54"/>
        <v>275.62191115913316</v>
      </c>
      <c r="AL181" s="944">
        <f t="shared" si="55"/>
        <v>61.181912400000002</v>
      </c>
      <c r="AM181" s="968">
        <f t="shared" si="56"/>
        <v>0.87615455244286489</v>
      </c>
      <c r="AN181" s="944">
        <f t="shared" si="57"/>
        <v>219.97890264407044</v>
      </c>
      <c r="AO181" s="969"/>
      <c r="AP181" s="251">
        <f t="shared" si="64"/>
        <v>-87.9</v>
      </c>
      <c r="AQ181" s="347"/>
      <c r="AR181" s="347">
        <f t="shared" si="58"/>
        <v>495.60081380320361</v>
      </c>
      <c r="AS181" s="348">
        <f t="shared" ref="AS181:AS202" si="66">+V181-AN181</f>
        <v>-219.97890264407044</v>
      </c>
      <c r="AT181" s="348"/>
      <c r="AU181" s="348">
        <f t="shared" si="65"/>
        <v>219.97890264407044</v>
      </c>
      <c r="AV181" s="350">
        <f t="shared" si="59"/>
        <v>-48.884435449107407</v>
      </c>
      <c r="AW181" s="350">
        <f t="shared" si="60"/>
        <v>-39.015564550892599</v>
      </c>
      <c r="AX181" s="351">
        <f t="shared" si="61"/>
        <v>-237.29434314683914</v>
      </c>
      <c r="AY181" s="351">
        <f t="shared" si="62"/>
        <v>-256.30796619528144</v>
      </c>
      <c r="AZ181" s="1043"/>
      <c r="BA181" s="241">
        <f t="shared" si="46"/>
        <v>237.29434314683914</v>
      </c>
      <c r="BB181" s="242">
        <f t="shared" si="47"/>
        <v>256.30796619528144</v>
      </c>
      <c r="BD181" s="109"/>
      <c r="BE181" s="109"/>
      <c r="BF181" s="119"/>
      <c r="BG181" s="119"/>
      <c r="BH181" s="119"/>
      <c r="BI181" s="119"/>
      <c r="BJ181" s="119"/>
      <c r="BK181" s="119"/>
      <c r="BL181" s="195"/>
      <c r="BQ181" s="109"/>
      <c r="BU181" s="109"/>
    </row>
    <row r="182" spans="1:134" ht="19" thickBot="1" x14ac:dyDescent="0.25">
      <c r="B182" s="244">
        <v>6</v>
      </c>
      <c r="C182" s="245"/>
      <c r="D182" s="16">
        <v>1</v>
      </c>
      <c r="E182" s="234" t="s">
        <v>215</v>
      </c>
      <c r="F182" s="235"/>
      <c r="G182" s="235">
        <f t="shared" si="48"/>
        <v>1</v>
      </c>
      <c r="H182" s="888">
        <v>251.073172</v>
      </c>
      <c r="I182" s="889">
        <v>65.636175100000003</v>
      </c>
      <c r="J182" s="374">
        <f t="shared" si="49"/>
        <v>64.636175100000003</v>
      </c>
      <c r="K182" s="374">
        <f t="shared" si="50"/>
        <v>32.318087550000001</v>
      </c>
      <c r="L182" s="374">
        <f t="shared" si="38"/>
        <v>0.53461916118589337</v>
      </c>
      <c r="M182" s="374">
        <f t="shared" si="39"/>
        <v>134.22852861092153</v>
      </c>
      <c r="N182" s="374">
        <f t="shared" si="40"/>
        <v>268.45705722184306</v>
      </c>
      <c r="O182" s="374">
        <f>+C177+D178+D179+D180+D181+(D182/2)</f>
        <v>4.5</v>
      </c>
      <c r="P182" s="374">
        <f t="shared" si="41"/>
        <v>7.845909572784486E-2</v>
      </c>
      <c r="Q182" s="374">
        <f t="shared" si="42"/>
        <v>21.062897951384109</v>
      </c>
      <c r="R182" s="374">
        <f t="shared" si="51"/>
        <v>248.46973019055207</v>
      </c>
      <c r="S182" s="374">
        <f t="shared" si="63"/>
        <v>269.53262814193619</v>
      </c>
      <c r="T182" s="375">
        <f t="shared" si="43"/>
        <v>269.53262814193619</v>
      </c>
      <c r="V182" s="929">
        <f t="shared" si="44"/>
        <v>0</v>
      </c>
      <c r="W182" s="340"/>
      <c r="X182" s="340"/>
      <c r="Y182" s="340"/>
      <c r="Z182" s="340"/>
      <c r="AA182" s="340"/>
      <c r="AB182" s="257" t="str">
        <f t="shared" si="52"/>
        <v>use the locking pin</v>
      </c>
      <c r="AC182" s="377"/>
      <c r="AD182" s="377"/>
      <c r="AE182" s="377"/>
      <c r="AF182" s="966">
        <f>SUM(V182:V202)/($B$174-B181)</f>
        <v>0</v>
      </c>
      <c r="AG182" s="971">
        <f>SUM(D178:D182)+$C$177</f>
        <v>5</v>
      </c>
      <c r="AH182" s="353"/>
      <c r="AI182" s="944">
        <f t="shared" si="53"/>
        <v>70.499008599999996</v>
      </c>
      <c r="AJ182" s="575">
        <f t="shared" si="45"/>
        <v>0.94263571502615251</v>
      </c>
      <c r="AK182" s="944">
        <f t="shared" si="54"/>
        <v>273.97034769443167</v>
      </c>
      <c r="AL182" s="944">
        <f t="shared" si="55"/>
        <v>62.181912400000002</v>
      </c>
      <c r="AM182" s="968">
        <f t="shared" si="56"/>
        <v>0.88443369839252528</v>
      </c>
      <c r="AN182" s="944">
        <f t="shared" si="57"/>
        <v>222.05757407910264</v>
      </c>
      <c r="AO182" s="969"/>
      <c r="AP182" s="251">
        <f t="shared" si="64"/>
        <v>-117.2</v>
      </c>
      <c r="AQ182" s="347"/>
      <c r="AR182" s="347">
        <f t="shared" si="58"/>
        <v>496.02792177353433</v>
      </c>
      <c r="AS182" s="348">
        <f t="shared" si="66"/>
        <v>-222.05757407910264</v>
      </c>
      <c r="AT182" s="348"/>
      <c r="AU182" s="348">
        <f t="shared" si="65"/>
        <v>222.05757407910264</v>
      </c>
      <c r="AV182" s="350">
        <f t="shared" si="59"/>
        <v>-64.732897767088147</v>
      </c>
      <c r="AW182" s="350">
        <f t="shared" si="60"/>
        <v>-52.467102232911849</v>
      </c>
      <c r="AX182" s="351">
        <f t="shared" si="61"/>
        <v>-179.19791018374178</v>
      </c>
      <c r="AY182" s="351">
        <f t="shared" si="62"/>
        <v>-190.59562229314707</v>
      </c>
      <c r="AZ182" s="1043"/>
      <c r="BA182" s="241">
        <f t="shared" si="46"/>
        <v>179.19791018374178</v>
      </c>
      <c r="BB182" s="242">
        <f t="shared" si="47"/>
        <v>190.59562229314707</v>
      </c>
      <c r="BD182" s="109"/>
      <c r="BE182" s="109"/>
      <c r="BF182" s="119"/>
      <c r="BG182" s="119"/>
      <c r="BH182" s="259" t="s">
        <v>107</v>
      </c>
      <c r="BI182" s="119"/>
      <c r="BJ182" s="119"/>
      <c r="BK182" s="119"/>
      <c r="BL182" s="119"/>
      <c r="BM182" s="119"/>
      <c r="BQ182" s="109"/>
      <c r="BR182" s="273"/>
      <c r="BS182" s="273"/>
      <c r="BT182" s="273"/>
      <c r="BU182" s="273"/>
      <c r="BV182" s="273"/>
      <c r="BW182" s="273"/>
      <c r="BX182" s="273"/>
      <c r="BY182" s="273"/>
      <c r="BZ182" s="273"/>
      <c r="CA182" s="273"/>
      <c r="CB182" s="273"/>
      <c r="CC182" s="273"/>
      <c r="CD182" s="273"/>
      <c r="CE182" s="273"/>
      <c r="CF182" s="273"/>
      <c r="CG182" s="273"/>
      <c r="CH182" s="273"/>
      <c r="CI182" s="273"/>
      <c r="CJ182" s="273"/>
      <c r="CK182" s="273"/>
      <c r="CL182" s="273"/>
      <c r="CM182" s="273"/>
      <c r="CN182" s="273"/>
      <c r="CO182" s="273"/>
    </row>
    <row r="183" spans="1:134" ht="21" thickBot="1" x14ac:dyDescent="0.35">
      <c r="B183" s="244">
        <v>7</v>
      </c>
      <c r="C183" s="245"/>
      <c r="D183" s="16">
        <v>1</v>
      </c>
      <c r="E183" s="234" t="s">
        <v>215</v>
      </c>
      <c r="F183" s="235"/>
      <c r="G183" s="235">
        <f t="shared" si="48"/>
        <v>1</v>
      </c>
      <c r="H183" s="888">
        <v>251.073172</v>
      </c>
      <c r="I183" s="889">
        <v>65.636175100000003</v>
      </c>
      <c r="J183" s="374">
        <f t="shared" si="49"/>
        <v>64.636175100000003</v>
      </c>
      <c r="K183" s="374">
        <f t="shared" si="50"/>
        <v>32.318087550000001</v>
      </c>
      <c r="L183" s="374">
        <f t="shared" si="38"/>
        <v>0.53461916118589337</v>
      </c>
      <c r="M183" s="374">
        <f t="shared" si="39"/>
        <v>134.22852861092153</v>
      </c>
      <c r="N183" s="374">
        <f t="shared" si="40"/>
        <v>268.45705722184306</v>
      </c>
      <c r="O183" s="374">
        <f>+C177+D178+D179+D180+D181+D182+(D183/2)</f>
        <v>5.5</v>
      </c>
      <c r="P183" s="374">
        <f t="shared" si="41"/>
        <v>9.5845752520223898E-2</v>
      </c>
      <c r="Q183" s="374">
        <f t="shared" si="42"/>
        <v>25.730468668792355</v>
      </c>
      <c r="R183" s="374">
        <f t="shared" si="51"/>
        <v>269.53262814193619</v>
      </c>
      <c r="S183" s="374">
        <f t="shared" si="63"/>
        <v>295.26309681072854</v>
      </c>
      <c r="T183" s="375">
        <f t="shared" si="43"/>
        <v>295.26309681072854</v>
      </c>
      <c r="V183" s="929">
        <f t="shared" si="44"/>
        <v>0</v>
      </c>
      <c r="W183" s="340"/>
      <c r="X183" s="340"/>
      <c r="Y183" s="340"/>
      <c r="Z183" s="340"/>
      <c r="AA183" s="340"/>
      <c r="AB183" s="257" t="str">
        <f t="shared" si="52"/>
        <v>use the locking pin</v>
      </c>
      <c r="AC183" s="377"/>
      <c r="AD183" s="377"/>
      <c r="AE183" s="377"/>
      <c r="AF183" s="966">
        <f t="shared" ref="AF183" si="67">SUM(V183:V202)/($B$174-B182)</f>
        <v>0</v>
      </c>
      <c r="AG183" s="971">
        <f>SUM(D178:D183)+$C$177</f>
        <v>6</v>
      </c>
      <c r="AH183" s="353"/>
      <c r="AI183" s="944">
        <f t="shared" si="53"/>
        <v>69.499008599999996</v>
      </c>
      <c r="AJ183" s="575">
        <f t="shared" si="45"/>
        <v>0.93666612940184768</v>
      </c>
      <c r="AK183" s="944">
        <f t="shared" si="54"/>
        <v>272.23533020781213</v>
      </c>
      <c r="AL183" s="944">
        <f t="shared" si="55"/>
        <v>63.181912400000002</v>
      </c>
      <c r="AM183" s="968">
        <f t="shared" si="56"/>
        <v>0.8924434372699539</v>
      </c>
      <c r="AN183" s="944">
        <f t="shared" si="57"/>
        <v>224.06860462595034</v>
      </c>
      <c r="AO183" s="969"/>
      <c r="AP183" s="251">
        <f t="shared" si="64"/>
        <v>-146.5</v>
      </c>
      <c r="AQ183" s="347"/>
      <c r="AR183" s="347">
        <f t="shared" si="58"/>
        <v>496.30393483376247</v>
      </c>
      <c r="AS183" s="348">
        <f t="shared" si="66"/>
        <v>-224.06860462595034</v>
      </c>
      <c r="AT183" s="348"/>
      <c r="AU183" s="348">
        <f t="shared" si="65"/>
        <v>224.06860462595034</v>
      </c>
      <c r="AV183" s="350">
        <f t="shared" si="59"/>
        <v>-80.358975773188575</v>
      </c>
      <c r="AW183" s="350">
        <f t="shared" si="60"/>
        <v>-66.141024226811439</v>
      </c>
      <c r="AX183" s="351">
        <f t="shared" si="61"/>
        <v>-144.35226293501728</v>
      </c>
      <c r="AY183" s="351">
        <f t="shared" si="62"/>
        <v>-151.19209472335814</v>
      </c>
      <c r="AZ183" s="1043"/>
      <c r="BA183" s="241">
        <f t="shared" si="46"/>
        <v>144.35226293501728</v>
      </c>
      <c r="BB183" s="242">
        <f t="shared" si="47"/>
        <v>151.19209472335814</v>
      </c>
      <c r="BF183" s="260">
        <v>1</v>
      </c>
      <c r="BG183" s="261">
        <v>-473</v>
      </c>
      <c r="BH183" s="262">
        <f>+COS(($B$147*-1)*3.14159265358979/180)*BG183</f>
        <v>-472.92795980897307</v>
      </c>
      <c r="BI183" s="263">
        <f t="shared" ref="BI183:BI219" si="68">+BH183-D$3</f>
        <v>-702.62333617956904</v>
      </c>
      <c r="BJ183" s="264">
        <f t="shared" ref="BJ183:BJ219" si="69">ABS(BI183)</f>
        <v>702.62333617956904</v>
      </c>
      <c r="BK183" s="265">
        <f>MIN(BJ183:BJ219)</f>
        <v>14.728121911971868</v>
      </c>
      <c r="BL183" s="264" t="b">
        <f>IF(BK183=BJ183,BF183)</f>
        <v>0</v>
      </c>
      <c r="BM183" s="266">
        <v>1</v>
      </c>
      <c r="BQ183" s="109"/>
    </row>
    <row r="184" spans="1:134" ht="21" thickBot="1" x14ac:dyDescent="0.35">
      <c r="B184" s="244">
        <v>8</v>
      </c>
      <c r="C184" s="245"/>
      <c r="D184" s="16">
        <v>1</v>
      </c>
      <c r="E184" s="234" t="s">
        <v>215</v>
      </c>
      <c r="F184" s="235"/>
      <c r="G184" s="235">
        <f t="shared" si="48"/>
        <v>1</v>
      </c>
      <c r="H184" s="888">
        <v>251.073172</v>
      </c>
      <c r="I184" s="889">
        <v>65.636175100000003</v>
      </c>
      <c r="J184" s="374">
        <f t="shared" si="49"/>
        <v>64.636175100000003</v>
      </c>
      <c r="K184" s="374">
        <f t="shared" si="50"/>
        <v>32.318087550000001</v>
      </c>
      <c r="L184" s="374">
        <f t="shared" si="38"/>
        <v>0.53461916118589337</v>
      </c>
      <c r="M184" s="374">
        <f t="shared" si="39"/>
        <v>134.22852861092153</v>
      </c>
      <c r="N184" s="374">
        <f t="shared" si="40"/>
        <v>268.45705722184306</v>
      </c>
      <c r="O184" s="374">
        <f>+C177+D178+D179+D180+D181+D182+D183+(D184/2)</f>
        <v>6.5</v>
      </c>
      <c r="P184" s="374">
        <f t="shared" si="41"/>
        <v>0.11320321376790661</v>
      </c>
      <c r="Q184" s="374">
        <f t="shared" si="42"/>
        <v>30.390201636187438</v>
      </c>
      <c r="R184" s="374">
        <f t="shared" si="51"/>
        <v>295.26309681072854</v>
      </c>
      <c r="S184" s="374">
        <f t="shared" si="63"/>
        <v>325.65329844691598</v>
      </c>
      <c r="T184" s="375">
        <f t="shared" si="43"/>
        <v>325.65329844691598</v>
      </c>
      <c r="V184" s="929">
        <f t="shared" si="44"/>
        <v>0</v>
      </c>
      <c r="W184" s="340"/>
      <c r="X184" s="340"/>
      <c r="Y184" s="340"/>
      <c r="Z184" s="340"/>
      <c r="AA184" s="340"/>
      <c r="AB184" s="257" t="str">
        <f t="shared" si="52"/>
        <v>use the locking pin</v>
      </c>
      <c r="AC184" s="377"/>
      <c r="AD184" s="377"/>
      <c r="AE184" s="377"/>
      <c r="AF184" s="966">
        <f>SUM(V184:V202)/($B$174-B183)</f>
        <v>0</v>
      </c>
      <c r="AG184" s="971">
        <f>SUM(D178:D184)+$C$177</f>
        <v>7</v>
      </c>
      <c r="AH184" s="353"/>
      <c r="AI184" s="944">
        <f t="shared" si="53"/>
        <v>68.499008599999996</v>
      </c>
      <c r="AJ184" s="575">
        <f t="shared" si="45"/>
        <v>0.93041122620083849</v>
      </c>
      <c r="AK184" s="944">
        <f t="shared" si="54"/>
        <v>270.41738720240846</v>
      </c>
      <c r="AL184" s="944">
        <f t="shared" si="55"/>
        <v>64.181912400000002</v>
      </c>
      <c r="AM184" s="968">
        <f t="shared" si="56"/>
        <v>0.90018132923109617</v>
      </c>
      <c r="AN184" s="944">
        <f t="shared" si="57"/>
        <v>226.01138170522765</v>
      </c>
      <c r="AO184" s="969"/>
      <c r="AP184" s="251">
        <f t="shared" si="64"/>
        <v>-175.8</v>
      </c>
      <c r="AQ184" s="347"/>
      <c r="AR184" s="347">
        <f t="shared" si="58"/>
        <v>496.42876890763614</v>
      </c>
      <c r="AS184" s="348">
        <f t="shared" si="66"/>
        <v>-226.01138170522765</v>
      </c>
      <c r="AT184" s="348"/>
      <c r="AU184" s="348">
        <f t="shared" si="65"/>
        <v>226.01138170522765</v>
      </c>
      <c r="AV184" s="350">
        <f t="shared" si="59"/>
        <v>-95.762735054197535</v>
      </c>
      <c r="AW184" s="350">
        <f t="shared" si="60"/>
        <v>-80.037264945802463</v>
      </c>
      <c r="AX184" s="351">
        <f t="shared" si="61"/>
        <v>-121.13271402946987</v>
      </c>
      <c r="AY184" s="351">
        <f t="shared" si="62"/>
        <v>-124.94180063213727</v>
      </c>
      <c r="AZ184" s="1043"/>
      <c r="BA184" s="241">
        <f t="shared" si="46"/>
        <v>121.13271402946987</v>
      </c>
      <c r="BB184" s="242">
        <f t="shared" si="47"/>
        <v>124.94180063213727</v>
      </c>
      <c r="BF184" s="260">
        <v>2</v>
      </c>
      <c r="BG184" s="261">
        <f>+BG183+43</f>
        <v>-430</v>
      </c>
      <c r="BH184" s="31">
        <f>+BH183+$E$2</f>
        <v>-429.93450891724825</v>
      </c>
      <c r="BI184" s="263">
        <f t="shared" si="68"/>
        <v>-659.62988528784422</v>
      </c>
      <c r="BJ184" s="264">
        <f t="shared" si="69"/>
        <v>659.62988528784422</v>
      </c>
      <c r="BK184" s="264">
        <f>+BK183</f>
        <v>14.728121911971868</v>
      </c>
      <c r="BL184" s="264" t="b">
        <f t="shared" ref="BL184:BL219" si="70">IF(BK184=BJ184,BF184)</f>
        <v>0</v>
      </c>
      <c r="BM184" s="266">
        <v>2</v>
      </c>
      <c r="BQ184" s="216"/>
      <c r="BR184" s="274"/>
      <c r="BS184" s="274"/>
      <c r="BT184" s="274"/>
      <c r="BU184" s="274"/>
      <c r="BV184" s="274"/>
      <c r="BW184" s="274"/>
      <c r="BX184" s="274"/>
      <c r="BY184" s="274"/>
      <c r="BZ184" s="274"/>
      <c r="CA184" s="274"/>
      <c r="CB184" s="274"/>
      <c r="CC184" s="274"/>
      <c r="CD184" s="274"/>
      <c r="CE184" s="274"/>
      <c r="CF184" s="274"/>
      <c r="CG184" s="274"/>
      <c r="CH184" s="274"/>
      <c r="CI184" s="274"/>
      <c r="CJ184" s="274"/>
      <c r="CK184" s="274"/>
      <c r="CL184" s="274"/>
      <c r="CM184" s="274"/>
      <c r="CN184" s="274"/>
      <c r="CO184" s="274"/>
    </row>
    <row r="185" spans="1:134" ht="21" thickBot="1" x14ac:dyDescent="0.35">
      <c r="B185" s="244">
        <v>9</v>
      </c>
      <c r="C185" s="245"/>
      <c r="D185" s="16">
        <v>1</v>
      </c>
      <c r="E185" s="234" t="s">
        <v>215</v>
      </c>
      <c r="F185" s="235"/>
      <c r="G185" s="235">
        <f t="shared" si="48"/>
        <v>1</v>
      </c>
      <c r="H185" s="888">
        <v>251.073172</v>
      </c>
      <c r="I185" s="889">
        <v>65.636175100000003</v>
      </c>
      <c r="J185" s="374">
        <f t="shared" si="49"/>
        <v>64.636175100000003</v>
      </c>
      <c r="K185" s="374">
        <f t="shared" si="50"/>
        <v>32.318087550000001</v>
      </c>
      <c r="L185" s="374">
        <f t="shared" si="38"/>
        <v>0.53461916118589337</v>
      </c>
      <c r="M185" s="374">
        <f t="shared" si="39"/>
        <v>134.22852861092153</v>
      </c>
      <c r="N185" s="374">
        <f t="shared" si="40"/>
        <v>268.45705722184306</v>
      </c>
      <c r="O185" s="374">
        <f>+C177+D178+D179+D180+D181+D182+D183+D184+(D185/2)</f>
        <v>7.5</v>
      </c>
      <c r="P185" s="374">
        <f t="shared" si="41"/>
        <v>0.13052619222005146</v>
      </c>
      <c r="Q185" s="374">
        <f t="shared" si="42"/>
        <v>35.040677453767643</v>
      </c>
      <c r="R185" s="374">
        <f t="shared" si="51"/>
        <v>325.65329844691598</v>
      </c>
      <c r="S185" s="374">
        <f t="shared" si="63"/>
        <v>360.69397590068365</v>
      </c>
      <c r="T185" s="375">
        <f t="shared" si="43"/>
        <v>360.69397590068365</v>
      </c>
      <c r="V185" s="929">
        <f t="shared" si="44"/>
        <v>0</v>
      </c>
      <c r="W185" s="340"/>
      <c r="X185" s="340"/>
      <c r="Y185" s="340"/>
      <c r="Z185" s="340"/>
      <c r="AA185" s="340"/>
      <c r="AB185" s="257" t="str">
        <f t="shared" si="52"/>
        <v>use the locking pin</v>
      </c>
      <c r="AC185" s="377"/>
      <c r="AD185" s="377"/>
      <c r="AE185" s="377"/>
      <c r="AF185" s="966">
        <f>SUM(V185:V202)/($B$174-B184)</f>
        <v>0</v>
      </c>
      <c r="AG185" s="971">
        <f>SUM(D178:D185)+$C$177</f>
        <v>8</v>
      </c>
      <c r="AH185" s="353"/>
      <c r="AI185" s="944">
        <f t="shared" si="53"/>
        <v>67.499008599999996</v>
      </c>
      <c r="AJ185" s="575">
        <f t="shared" si="45"/>
        <v>0.92387291072723265</v>
      </c>
      <c r="AK185" s="944">
        <f t="shared" si="54"/>
        <v>268.5170724412709</v>
      </c>
      <c r="AL185" s="944">
        <f t="shared" si="55"/>
        <v>65.181912400000002</v>
      </c>
      <c r="AM185" s="968">
        <f t="shared" si="56"/>
        <v>0.9076450172391024</v>
      </c>
      <c r="AN185" s="944">
        <f t="shared" si="57"/>
        <v>227.88531352821613</v>
      </c>
      <c r="AO185" s="969"/>
      <c r="AP185" s="251">
        <f t="shared" si="64"/>
        <v>-205.1</v>
      </c>
      <c r="AQ185" s="347"/>
      <c r="AR185" s="347">
        <f t="shared" si="58"/>
        <v>496.402385969487</v>
      </c>
      <c r="AS185" s="348">
        <f t="shared" si="66"/>
        <v>-227.88531352821613</v>
      </c>
      <c r="AT185" s="348"/>
      <c r="AU185" s="348">
        <f t="shared" si="65"/>
        <v>227.88531352821613</v>
      </c>
      <c r="AV185" s="350">
        <f t="shared" si="59"/>
        <v>-110.94397028359549</v>
      </c>
      <c r="AW185" s="350">
        <f t="shared" si="60"/>
        <v>-94.156029716404532</v>
      </c>
      <c r="AX185" s="351">
        <f t="shared" si="61"/>
        <v>-104.55728211590072</v>
      </c>
      <c r="AY185" s="351">
        <f t="shared" si="62"/>
        <v>-106.20668724158968</v>
      </c>
      <c r="AZ185" s="1043"/>
      <c r="BA185" s="241">
        <f t="shared" si="46"/>
        <v>104.55728211590072</v>
      </c>
      <c r="BB185" s="242">
        <f t="shared" si="47"/>
        <v>106.20668724158968</v>
      </c>
      <c r="BF185" s="260">
        <v>3</v>
      </c>
      <c r="BG185" s="261">
        <f t="shared" ref="BG185:BG219" si="71">+BG184+43</f>
        <v>-387</v>
      </c>
      <c r="BH185" s="31">
        <f t="shared" ref="BH185:BH219" si="72">+BH184+$E$2</f>
        <v>-386.94105802552343</v>
      </c>
      <c r="BI185" s="263">
        <f t="shared" si="68"/>
        <v>-616.6364343961194</v>
      </c>
      <c r="BJ185" s="264">
        <f t="shared" si="69"/>
        <v>616.6364343961194</v>
      </c>
      <c r="BK185" s="264">
        <f t="shared" ref="BK185:BK219" si="73">+BK184</f>
        <v>14.728121911971868</v>
      </c>
      <c r="BL185" s="264" t="b">
        <f t="shared" si="70"/>
        <v>0</v>
      </c>
      <c r="BM185" s="266">
        <v>3</v>
      </c>
      <c r="BQ185" s="109"/>
      <c r="BR185" s="186"/>
      <c r="BS185" s="186"/>
      <c r="BT185" s="186"/>
      <c r="BU185" s="186"/>
      <c r="BV185" s="186"/>
      <c r="BW185" s="186"/>
      <c r="BX185" s="186"/>
      <c r="BY185" s="186"/>
      <c r="BZ185" s="186"/>
      <c r="CA185" s="186"/>
      <c r="CB185" s="186"/>
      <c r="CC185" s="186"/>
      <c r="CD185" s="186"/>
      <c r="CE185" s="186"/>
      <c r="CF185" s="186"/>
      <c r="CG185" s="186"/>
      <c r="CH185" s="186"/>
      <c r="CI185" s="186"/>
      <c r="CJ185" s="186"/>
      <c r="CK185" s="186"/>
      <c r="CL185" s="186"/>
      <c r="CM185" s="186"/>
      <c r="CN185" s="186"/>
      <c r="CO185" s="186"/>
    </row>
    <row r="186" spans="1:134" ht="21" thickBot="1" x14ac:dyDescent="0.35">
      <c r="B186" s="244">
        <v>10</v>
      </c>
      <c r="C186" s="245"/>
      <c r="D186" s="16">
        <v>1</v>
      </c>
      <c r="E186" s="234" t="s">
        <v>215</v>
      </c>
      <c r="F186" s="235"/>
      <c r="G186" s="235">
        <f t="shared" si="48"/>
        <v>1</v>
      </c>
      <c r="H186" s="888">
        <v>251.073172</v>
      </c>
      <c r="I186" s="889">
        <v>65.636175100000003</v>
      </c>
      <c r="J186" s="374">
        <f t="shared" si="49"/>
        <v>64.636175100000003</v>
      </c>
      <c r="K186" s="374">
        <f t="shared" si="50"/>
        <v>32.318087550000001</v>
      </c>
      <c r="L186" s="374">
        <f t="shared" si="38"/>
        <v>0.53461916118589337</v>
      </c>
      <c r="M186" s="374">
        <f t="shared" si="39"/>
        <v>134.22852861092153</v>
      </c>
      <c r="N186" s="374">
        <f t="shared" si="40"/>
        <v>268.45705722184306</v>
      </c>
      <c r="O186" s="374">
        <f>+C177+D178+D179+D180+D181+D182+D183+D184+D185+(D186/2)</f>
        <v>8.5</v>
      </c>
      <c r="P186" s="374">
        <f t="shared" si="41"/>
        <v>0.14780941112961046</v>
      </c>
      <c r="Q186" s="374">
        <f t="shared" si="42"/>
        <v>39.680479541548763</v>
      </c>
      <c r="R186" s="374">
        <f t="shared" si="51"/>
        <v>360.69397590068365</v>
      </c>
      <c r="S186" s="374">
        <f t="shared" si="63"/>
        <v>400.37445544223243</v>
      </c>
      <c r="T186" s="375">
        <f t="shared" si="43"/>
        <v>400.37445544223243</v>
      </c>
      <c r="V186" s="929">
        <f t="shared" si="44"/>
        <v>0</v>
      </c>
      <c r="W186" s="340"/>
      <c r="X186" s="340"/>
      <c r="Y186" s="340"/>
      <c r="Z186" s="340"/>
      <c r="AA186" s="340"/>
      <c r="AB186" s="257" t="str">
        <f t="shared" si="52"/>
        <v>use the locking pin</v>
      </c>
      <c r="AC186" s="377"/>
      <c r="AD186" s="377"/>
      <c r="AE186" s="377"/>
      <c r="AF186" s="966">
        <f>SUM(V186:V202)/($B$174-B185)</f>
        <v>0</v>
      </c>
      <c r="AG186" s="971">
        <f>SUM(D178:D186)+$C$177</f>
        <v>9</v>
      </c>
      <c r="AH186" s="353"/>
      <c r="AI186" s="944">
        <f t="shared" si="53"/>
        <v>66.499008599999996</v>
      </c>
      <c r="AJ186" s="575">
        <f t="shared" si="45"/>
        <v>0.91705317461526137</v>
      </c>
      <c r="AK186" s="944">
        <f t="shared" si="54"/>
        <v>266.53496477868435</v>
      </c>
      <c r="AL186" s="944">
        <f t="shared" si="55"/>
        <v>66.181912400000002</v>
      </c>
      <c r="AM186" s="968">
        <f t="shared" si="56"/>
        <v>0.91483222778230289</v>
      </c>
      <c r="AN186" s="944">
        <f t="shared" si="57"/>
        <v>229.68982927712932</v>
      </c>
      <c r="AO186" s="969"/>
      <c r="AP186" s="251">
        <f t="shared" si="64"/>
        <v>-234.4</v>
      </c>
      <c r="AQ186" s="347"/>
      <c r="AR186" s="347">
        <f t="shared" si="58"/>
        <v>496.22479405581367</v>
      </c>
      <c r="AS186" s="348">
        <f t="shared" si="66"/>
        <v>-229.68982927712932</v>
      </c>
      <c r="AT186" s="348"/>
      <c r="AU186" s="348">
        <f t="shared" si="65"/>
        <v>229.68982927712932</v>
      </c>
      <c r="AV186" s="350">
        <f t="shared" si="59"/>
        <v>-125.90220499360326</v>
      </c>
      <c r="AW186" s="350">
        <f t="shared" si="60"/>
        <v>-108.49779500639674</v>
      </c>
      <c r="AX186" s="351">
        <f t="shared" si="61"/>
        <v>-92.135002723656541</v>
      </c>
      <c r="AY186" s="351">
        <f t="shared" si="62"/>
        <v>-92.167771699050903</v>
      </c>
      <c r="AZ186" s="1043"/>
      <c r="BA186" s="241">
        <f t="shared" si="46"/>
        <v>92.135002723656541</v>
      </c>
      <c r="BB186" s="242">
        <f t="shared" si="47"/>
        <v>92.167771699050903</v>
      </c>
      <c r="BF186" s="260">
        <v>4</v>
      </c>
      <c r="BG186" s="261">
        <f t="shared" si="71"/>
        <v>-344</v>
      </c>
      <c r="BH186" s="31">
        <f t="shared" si="72"/>
        <v>-343.94760713379861</v>
      </c>
      <c r="BI186" s="263">
        <f t="shared" si="68"/>
        <v>-573.64298350439458</v>
      </c>
      <c r="BJ186" s="264">
        <f t="shared" si="69"/>
        <v>573.64298350439458</v>
      </c>
      <c r="BK186" s="264">
        <f t="shared" si="73"/>
        <v>14.728121911971868</v>
      </c>
      <c r="BL186" s="264" t="b">
        <f t="shared" si="70"/>
        <v>0</v>
      </c>
      <c r="BM186" s="266">
        <v>4</v>
      </c>
    </row>
    <row r="187" spans="1:134" ht="21" thickBot="1" x14ac:dyDescent="0.35">
      <c r="A187" s="258"/>
      <c r="B187" s="244">
        <v>11</v>
      </c>
      <c r="C187" s="245"/>
      <c r="D187" s="16">
        <v>1</v>
      </c>
      <c r="E187" s="234" t="s">
        <v>215</v>
      </c>
      <c r="F187" s="235"/>
      <c r="G187" s="235">
        <f t="shared" si="48"/>
        <v>1</v>
      </c>
      <c r="H187" s="888">
        <v>251.073172</v>
      </c>
      <c r="I187" s="889">
        <v>65.636175100000003</v>
      </c>
      <c r="J187" s="374">
        <f t="shared" si="49"/>
        <v>64.636175100000003</v>
      </c>
      <c r="K187" s="374">
        <f t="shared" si="50"/>
        <v>32.318087550000001</v>
      </c>
      <c r="L187" s="374">
        <f t="shared" si="38"/>
        <v>0.53461916118589337</v>
      </c>
      <c r="M187" s="374">
        <f t="shared" si="39"/>
        <v>134.22852861092153</v>
      </c>
      <c r="N187" s="374">
        <f t="shared" si="40"/>
        <v>268.45705722184306</v>
      </c>
      <c r="O187" s="374">
        <f>+C177+D178+D179+D180+D181+D182+D183+D184+D185+D186+(D187/2)</f>
        <v>9.5</v>
      </c>
      <c r="P187" s="374">
        <f t="shared" si="41"/>
        <v>0.16504760586067749</v>
      </c>
      <c r="Q187" s="374">
        <f t="shared" si="42"/>
        <v>44.308194570868096</v>
      </c>
      <c r="R187" s="374">
        <f t="shared" si="51"/>
        <v>400.37445544223243</v>
      </c>
      <c r="S187" s="374">
        <f t="shared" si="63"/>
        <v>444.68265001310056</v>
      </c>
      <c r="T187" s="375">
        <f t="shared" si="43"/>
        <v>444.68265001310056</v>
      </c>
      <c r="V187" s="929">
        <f t="shared" si="44"/>
        <v>0</v>
      </c>
      <c r="W187" s="340"/>
      <c r="X187" s="340"/>
      <c r="Y187" s="340"/>
      <c r="Z187" s="340"/>
      <c r="AA187" s="340"/>
      <c r="AB187" s="257" t="str">
        <f t="shared" si="52"/>
        <v>use the locking pin</v>
      </c>
      <c r="AC187" s="377"/>
      <c r="AD187" s="377"/>
      <c r="AE187" s="377"/>
      <c r="AF187" s="966">
        <f>SUM(V187:V202)/($B$174-B186)</f>
        <v>0</v>
      </c>
      <c r="AG187" s="971">
        <f>SUM(D178:D187)+$C$177</f>
        <v>10</v>
      </c>
      <c r="AH187" s="353"/>
      <c r="AI187" s="944">
        <f t="shared" si="53"/>
        <v>65.499008599999996</v>
      </c>
      <c r="AJ187" s="575">
        <f t="shared" si="45"/>
        <v>0.90995409522260873</v>
      </c>
      <c r="AK187" s="944">
        <f t="shared" si="54"/>
        <v>264.4716679838441</v>
      </c>
      <c r="AL187" s="944">
        <f t="shared" si="55"/>
        <v>67.181912400000002</v>
      </c>
      <c r="AM187" s="968">
        <f t="shared" si="56"/>
        <v>0.92174077156674206</v>
      </c>
      <c r="AN187" s="944">
        <f t="shared" si="57"/>
        <v>231.42437927898933</v>
      </c>
      <c r="AO187" s="969"/>
      <c r="AP187" s="251">
        <f t="shared" si="64"/>
        <v>-263.7</v>
      </c>
      <c r="AQ187" s="347"/>
      <c r="AR187" s="347">
        <f t="shared" si="58"/>
        <v>495.89604726283346</v>
      </c>
      <c r="AS187" s="348">
        <f t="shared" si="66"/>
        <v>-231.42437927898933</v>
      </c>
      <c r="AT187" s="348"/>
      <c r="AU187" s="348">
        <f t="shared" si="65"/>
        <v>231.42437927898933</v>
      </c>
      <c r="AV187" s="350">
        <f t="shared" si="59"/>
        <v>-140.63669035533903</v>
      </c>
      <c r="AW187" s="350">
        <f t="shared" si="60"/>
        <v>-123.06330964466092</v>
      </c>
      <c r="AX187" s="351">
        <f t="shared" si="61"/>
        <v>-82.482032040791879</v>
      </c>
      <c r="AY187" s="351">
        <f t="shared" si="62"/>
        <v>-81.25898798654525</v>
      </c>
      <c r="AZ187" s="1043"/>
      <c r="BA187" s="241">
        <f t="shared" si="46"/>
        <v>82.482032040791879</v>
      </c>
      <c r="BB187" s="242">
        <f t="shared" si="47"/>
        <v>81.25898798654525</v>
      </c>
      <c r="BF187" s="260">
        <v>5</v>
      </c>
      <c r="BG187" s="261">
        <f t="shared" si="71"/>
        <v>-301</v>
      </c>
      <c r="BH187" s="31">
        <f t="shared" si="72"/>
        <v>-300.95415624207379</v>
      </c>
      <c r="BI187" s="263">
        <f t="shared" si="68"/>
        <v>-530.64953261266976</v>
      </c>
      <c r="BJ187" s="264">
        <f t="shared" si="69"/>
        <v>530.64953261266976</v>
      </c>
      <c r="BK187" s="264">
        <f t="shared" si="73"/>
        <v>14.728121911971868</v>
      </c>
      <c r="BL187" s="264" t="b">
        <f t="shared" si="70"/>
        <v>0</v>
      </c>
      <c r="BM187" s="266">
        <v>5</v>
      </c>
      <c r="BR187" s="217"/>
      <c r="BS187" s="217"/>
      <c r="BT187" s="217"/>
      <c r="BU187" s="217"/>
      <c r="BV187" s="217"/>
      <c r="BW187" s="217"/>
      <c r="BX187" s="109"/>
      <c r="BY187" s="109"/>
      <c r="BZ187" s="109"/>
      <c r="CA187" s="109"/>
      <c r="CB187" s="109"/>
      <c r="CC187" s="217"/>
      <c r="CD187" s="217"/>
      <c r="CE187" s="217"/>
      <c r="CF187" s="109"/>
      <c r="CG187" s="109"/>
      <c r="CH187" s="109"/>
      <c r="CI187" s="109"/>
      <c r="CJ187" s="109"/>
      <c r="CK187" s="109"/>
      <c r="CL187" s="109"/>
      <c r="CM187" s="109"/>
      <c r="CN187" s="109"/>
      <c r="CO187" s="109"/>
      <c r="DF187" s="109"/>
      <c r="DH187" s="109"/>
      <c r="DJ187" s="109"/>
    </row>
    <row r="188" spans="1:134" ht="21" thickBot="1" x14ac:dyDescent="0.35">
      <c r="A188" s="258"/>
      <c r="B188" s="244">
        <v>12</v>
      </c>
      <c r="C188" s="245"/>
      <c r="D188" s="16">
        <v>1</v>
      </c>
      <c r="E188" s="234" t="s">
        <v>215</v>
      </c>
      <c r="F188" s="235"/>
      <c r="G188" s="235">
        <f t="shared" si="48"/>
        <v>1</v>
      </c>
      <c r="H188" s="888">
        <v>251.073172</v>
      </c>
      <c r="I188" s="889">
        <v>65.636175100000003</v>
      </c>
      <c r="J188" s="374">
        <f t="shared" si="49"/>
        <v>64.636175100000003</v>
      </c>
      <c r="K188" s="374">
        <f t="shared" si="50"/>
        <v>32.318087550000001</v>
      </c>
      <c r="L188" s="374">
        <f t="shared" si="38"/>
        <v>0.53461916118589337</v>
      </c>
      <c r="M188" s="374">
        <f t="shared" si="39"/>
        <v>134.22852861092153</v>
      </c>
      <c r="N188" s="374">
        <f t="shared" si="40"/>
        <v>268.45705722184306</v>
      </c>
      <c r="O188" s="374">
        <f>+C177+D178+D179+D180+D181+D182+D183+D184+D185+D186+D187+(D188/2)</f>
        <v>10.5</v>
      </c>
      <c r="P188" s="374">
        <f t="shared" si="41"/>
        <v>0.18223552549214728</v>
      </c>
      <c r="Q188" s="374">
        <f t="shared" si="42"/>
        <v>48.922412894898024</v>
      </c>
      <c r="R188" s="374">
        <f t="shared" si="51"/>
        <v>444.68265001310056</v>
      </c>
      <c r="S188" s="374">
        <f t="shared" si="63"/>
        <v>493.60506290799856</v>
      </c>
      <c r="T188" s="375">
        <f t="shared" si="43"/>
        <v>493.60506290799856</v>
      </c>
      <c r="V188" s="929">
        <f t="shared" si="44"/>
        <v>0</v>
      </c>
      <c r="W188" s="340"/>
      <c r="X188" s="340"/>
      <c r="Y188" s="340"/>
      <c r="Z188" s="340"/>
      <c r="AA188" s="340"/>
      <c r="AB188" s="257" t="str">
        <f t="shared" si="52"/>
        <v>use the locking pin</v>
      </c>
      <c r="AC188" s="377"/>
      <c r="AD188" s="377"/>
      <c r="AE188" s="377"/>
      <c r="AF188" s="966">
        <f>SUM(V188:V202)/($B$174-B187)</f>
        <v>0</v>
      </c>
      <c r="AG188" s="971">
        <f>SUM(D178:D188)+$C$177</f>
        <v>11</v>
      </c>
      <c r="AH188" s="353"/>
      <c r="AI188" s="944">
        <f t="shared" si="53"/>
        <v>64.499008599999996</v>
      </c>
      <c r="AJ188" s="575">
        <f t="shared" si="45"/>
        <v>0.902577834997628</v>
      </c>
      <c r="AK188" s="944">
        <f t="shared" si="54"/>
        <v>262.32781055694142</v>
      </c>
      <c r="AL188" s="944">
        <f t="shared" si="55"/>
        <v>68.181912400000002</v>
      </c>
      <c r="AM188" s="968">
        <f t="shared" si="56"/>
        <v>0.9283685441830587</v>
      </c>
      <c r="AN188" s="944">
        <f t="shared" si="57"/>
        <v>233.08843517306269</v>
      </c>
      <c r="AO188" s="969"/>
      <c r="AP188" s="251">
        <f t="shared" si="64"/>
        <v>-293</v>
      </c>
      <c r="AQ188" s="347"/>
      <c r="AR188" s="347">
        <f t="shared" si="58"/>
        <v>495.41624573000411</v>
      </c>
      <c r="AS188" s="348">
        <f t="shared" si="66"/>
        <v>-233.08843517306269</v>
      </c>
      <c r="AT188" s="348"/>
      <c r="AU188" s="348">
        <f t="shared" si="65"/>
        <v>233.08843517306269</v>
      </c>
      <c r="AV188" s="350">
        <f t="shared" si="59"/>
        <v>-155.14640296045667</v>
      </c>
      <c r="AW188" s="350">
        <f t="shared" si="60"/>
        <v>-137.85359703954333</v>
      </c>
      <c r="AX188" s="351">
        <f t="shared" si="61"/>
        <v>-74.76808858376549</v>
      </c>
      <c r="AY188" s="351">
        <f t="shared" si="62"/>
        <v>-72.540725920495916</v>
      </c>
      <c r="AZ188" s="1043"/>
      <c r="BA188" s="241">
        <f t="shared" si="46"/>
        <v>74.76808858376549</v>
      </c>
      <c r="BB188" s="242">
        <f t="shared" si="47"/>
        <v>72.540725920495916</v>
      </c>
      <c r="BF188" s="260">
        <v>6</v>
      </c>
      <c r="BG188" s="261">
        <f t="shared" si="71"/>
        <v>-258</v>
      </c>
      <c r="BH188" s="31">
        <f t="shared" si="72"/>
        <v>-257.96070535034897</v>
      </c>
      <c r="BI188" s="263">
        <f t="shared" si="68"/>
        <v>-487.65608172094494</v>
      </c>
      <c r="BJ188" s="264">
        <f t="shared" si="69"/>
        <v>487.65608172094494</v>
      </c>
      <c r="BK188" s="264">
        <f t="shared" si="73"/>
        <v>14.728121911971868</v>
      </c>
      <c r="BL188" s="264" t="b">
        <f t="shared" si="70"/>
        <v>0</v>
      </c>
      <c r="BM188" s="266">
        <v>6</v>
      </c>
      <c r="BR188" s="217"/>
      <c r="BS188" s="217"/>
      <c r="BT188" s="217"/>
      <c r="BU188" s="217"/>
      <c r="BV188" s="217"/>
      <c r="BW188" s="217"/>
      <c r="CB188" s="217"/>
      <c r="CC188" s="217"/>
      <c r="CD188" s="217"/>
      <c r="CE188" s="217"/>
      <c r="CJ188" s="217"/>
      <c r="CK188" s="217"/>
      <c r="CL188" s="217"/>
      <c r="CM188" s="217"/>
      <c r="CN188" s="217"/>
      <c r="CO188" s="217"/>
      <c r="DF188" s="109"/>
      <c r="DJ188" s="109"/>
    </row>
    <row r="189" spans="1:134" ht="21" thickBot="1" x14ac:dyDescent="0.35">
      <c r="B189" s="244">
        <v>13</v>
      </c>
      <c r="C189" s="245"/>
      <c r="D189" s="16">
        <v>1</v>
      </c>
      <c r="E189" s="234" t="s">
        <v>215</v>
      </c>
      <c r="F189" s="235"/>
      <c r="G189" s="235">
        <f t="shared" si="48"/>
        <v>1</v>
      </c>
      <c r="H189" s="888">
        <v>251.073172</v>
      </c>
      <c r="I189" s="889">
        <v>65.636175100000003</v>
      </c>
      <c r="J189" s="374">
        <f t="shared" si="49"/>
        <v>64.636175100000003</v>
      </c>
      <c r="K189" s="374">
        <f t="shared" si="50"/>
        <v>32.318087550000001</v>
      </c>
      <c r="L189" s="374">
        <f t="shared" si="38"/>
        <v>0.53461916118589337</v>
      </c>
      <c r="M189" s="374">
        <f t="shared" si="39"/>
        <v>134.22852861092153</v>
      </c>
      <c r="N189" s="374">
        <f t="shared" si="40"/>
        <v>268.45705722184306</v>
      </c>
      <c r="O189" s="374">
        <f>+C177+D178+D179+D180+D181+D182+D183+D184+D185+D186+D187+D188+(D189/2)</f>
        <v>11.5</v>
      </c>
      <c r="P189" s="374">
        <f t="shared" si="41"/>
        <v>0.19936793441719697</v>
      </c>
      <c r="Q189" s="374">
        <f t="shared" si="42"/>
        <v>53.521728978038098</v>
      </c>
      <c r="R189" s="374">
        <f t="shared" si="51"/>
        <v>493.60506290799856</v>
      </c>
      <c r="S189" s="374">
        <f t="shared" si="63"/>
        <v>547.1267918860367</v>
      </c>
      <c r="T189" s="375">
        <f t="shared" si="43"/>
        <v>547.1267918860367</v>
      </c>
      <c r="V189" s="929">
        <f t="shared" si="44"/>
        <v>0</v>
      </c>
      <c r="W189" s="340"/>
      <c r="X189" s="340"/>
      <c r="Y189" s="340"/>
      <c r="Z189" s="340"/>
      <c r="AA189" s="340"/>
      <c r="AB189" s="257" t="str">
        <f t="shared" si="52"/>
        <v>use the locking pin</v>
      </c>
      <c r="AC189" s="377"/>
      <c r="AD189" s="377"/>
      <c r="AE189" s="377"/>
      <c r="AF189" s="966">
        <f>SUM(V189:V202)/($B$174-B188)</f>
        <v>0</v>
      </c>
      <c r="AG189" s="971">
        <f>SUM(D178:D189)+$C$177</f>
        <v>12</v>
      </c>
      <c r="AH189" s="353"/>
      <c r="AI189" s="944">
        <f t="shared" si="53"/>
        <v>63.499008599999996</v>
      </c>
      <c r="AJ189" s="575">
        <f t="shared" si="45"/>
        <v>0.89492664082063922</v>
      </c>
      <c r="AK189" s="944">
        <f t="shared" si="54"/>
        <v>260.1040455377165</v>
      </c>
      <c r="AL189" s="944">
        <f t="shared" si="55"/>
        <v>69.181912400000002</v>
      </c>
      <c r="AM189" s="968">
        <f t="shared" si="56"/>
        <v>0.93471352674750907</v>
      </c>
      <c r="AN189" s="944">
        <f t="shared" si="57"/>
        <v>234.68149007180395</v>
      </c>
      <c r="AO189" s="969"/>
      <c r="AP189" s="251">
        <f t="shared" si="64"/>
        <v>-322.3</v>
      </c>
      <c r="AQ189" s="347"/>
      <c r="AR189" s="347">
        <f t="shared" si="58"/>
        <v>494.78553560952048</v>
      </c>
      <c r="AS189" s="348">
        <f t="shared" si="66"/>
        <v>-234.68149007180395</v>
      </c>
      <c r="AT189" s="348"/>
      <c r="AU189" s="348">
        <f t="shared" si="65"/>
        <v>234.68149007180395</v>
      </c>
      <c r="AV189" s="350">
        <f t="shared" si="59"/>
        <v>-169.43004159071657</v>
      </c>
      <c r="AW189" s="350">
        <f t="shared" si="60"/>
        <v>-152.86995840928341</v>
      </c>
      <c r="AX189" s="351">
        <f t="shared" si="61"/>
        <v>-68.464835935185107</v>
      </c>
      <c r="AY189" s="351">
        <f t="shared" si="62"/>
        <v>-65.415076343690075</v>
      </c>
      <c r="AZ189" s="1043"/>
      <c r="BA189" s="241">
        <f t="shared" si="46"/>
        <v>68.464835935185107</v>
      </c>
      <c r="BB189" s="242">
        <f t="shared" si="47"/>
        <v>65.415076343690075</v>
      </c>
      <c r="BF189" s="260">
        <v>7</v>
      </c>
      <c r="BG189" s="261">
        <f t="shared" si="71"/>
        <v>-215</v>
      </c>
      <c r="BH189" s="31">
        <f t="shared" si="72"/>
        <v>-214.96725445862415</v>
      </c>
      <c r="BI189" s="263">
        <f t="shared" si="68"/>
        <v>-444.66263082922012</v>
      </c>
      <c r="BJ189" s="264">
        <f t="shared" si="69"/>
        <v>444.66263082922012</v>
      </c>
      <c r="BK189" s="264">
        <f t="shared" si="73"/>
        <v>14.728121911971868</v>
      </c>
      <c r="BL189" s="264" t="b">
        <f t="shared" si="70"/>
        <v>0</v>
      </c>
      <c r="BM189" s="266">
        <v>7</v>
      </c>
      <c r="DF189" s="109"/>
      <c r="DG189" s="273"/>
      <c r="DH189" s="273"/>
      <c r="DI189" s="273"/>
      <c r="DJ189" s="273"/>
      <c r="DK189" s="273"/>
      <c r="DL189" s="273"/>
      <c r="DM189" s="273"/>
      <c r="DN189" s="273"/>
      <c r="DO189" s="273"/>
      <c r="DP189" s="273"/>
      <c r="DQ189" s="273"/>
      <c r="DR189" s="273"/>
      <c r="DS189" s="273"/>
      <c r="DT189" s="273"/>
      <c r="DU189" s="273"/>
      <c r="DV189" s="273"/>
      <c r="DW189" s="273"/>
      <c r="DX189" s="273"/>
      <c r="DY189" s="273"/>
      <c r="DZ189" s="273"/>
      <c r="EA189" s="273"/>
      <c r="EB189" s="273"/>
      <c r="EC189" s="273"/>
      <c r="ED189" s="273"/>
    </row>
    <row r="190" spans="1:134" ht="21" thickBot="1" x14ac:dyDescent="0.35">
      <c r="B190" s="244">
        <v>14</v>
      </c>
      <c r="C190" s="245"/>
      <c r="D190" s="16">
        <v>1</v>
      </c>
      <c r="E190" s="234" t="s">
        <v>215</v>
      </c>
      <c r="F190" s="235"/>
      <c r="G190" s="235">
        <f t="shared" si="48"/>
        <v>1</v>
      </c>
      <c r="H190" s="888">
        <v>251.073172</v>
      </c>
      <c r="I190" s="889">
        <v>65.636175100000003</v>
      </c>
      <c r="J190" s="374">
        <f t="shared" si="49"/>
        <v>64.636175100000003</v>
      </c>
      <c r="K190" s="374">
        <f t="shared" si="50"/>
        <v>32.318087550000001</v>
      </c>
      <c r="L190" s="374">
        <f t="shared" si="38"/>
        <v>0.53461916118589337</v>
      </c>
      <c r="M190" s="374">
        <f t="shared" si="39"/>
        <v>134.22852861092153</v>
      </c>
      <c r="N190" s="374">
        <f t="shared" si="40"/>
        <v>268.45705722184306</v>
      </c>
      <c r="O190" s="374">
        <f>+C177+D178+D179+D180+D181+D182+D183+D184+D185+D186+D187+D188+D189+(D190/2)</f>
        <v>12.5</v>
      </c>
      <c r="P190" s="374">
        <f t="shared" si="41"/>
        <v>0.21643961393810265</v>
      </c>
      <c r="Q190" s="374">
        <f t="shared" si="42"/>
        <v>58.104741824054848</v>
      </c>
      <c r="R190" s="374">
        <f t="shared" si="51"/>
        <v>547.1267918860367</v>
      </c>
      <c r="S190" s="374">
        <f t="shared" si="63"/>
        <v>605.23153371009153</v>
      </c>
      <c r="T190" s="375">
        <f t="shared" si="43"/>
        <v>605.23153371009153</v>
      </c>
      <c r="V190" s="929">
        <f t="shared" si="44"/>
        <v>0</v>
      </c>
      <c r="W190" s="340"/>
      <c r="X190" s="340"/>
      <c r="Y190" s="340"/>
      <c r="Z190" s="340"/>
      <c r="AA190" s="340"/>
      <c r="AB190" s="257" t="str">
        <f t="shared" si="52"/>
        <v>use the locking pin</v>
      </c>
      <c r="AC190" s="377"/>
      <c r="AD190" s="377"/>
      <c r="AE190" s="377"/>
      <c r="AF190" s="966">
        <f>SUM(V190:V202)/($B$174-B189)</f>
        <v>0</v>
      </c>
      <c r="AG190" s="971">
        <f>SUM(D178:D190)+$C$177</f>
        <v>13</v>
      </c>
      <c r="AH190" s="353"/>
      <c r="AI190" s="944">
        <f t="shared" si="53"/>
        <v>62.499008599999996</v>
      </c>
      <c r="AJ190" s="575">
        <f t="shared" si="45"/>
        <v>0.88700284331950752</v>
      </c>
      <c r="AK190" s="944">
        <f t="shared" si="54"/>
        <v>257.8010503065363</v>
      </c>
      <c r="AL190" s="944">
        <f t="shared" si="55"/>
        <v>70.181912400000002</v>
      </c>
      <c r="AM190" s="968">
        <f t="shared" si="56"/>
        <v>0.94077378651693899</v>
      </c>
      <c r="AN190" s="944">
        <f t="shared" si="57"/>
        <v>236.20305871525869</v>
      </c>
      <c r="AO190" s="969"/>
      <c r="AP190" s="251">
        <f t="shared" si="64"/>
        <v>-351.6</v>
      </c>
      <c r="AQ190" s="347"/>
      <c r="AR190" s="347">
        <f t="shared" si="58"/>
        <v>494.00410902179499</v>
      </c>
      <c r="AS190" s="348">
        <f t="shared" si="66"/>
        <v>-236.20305871525869</v>
      </c>
      <c r="AT190" s="348"/>
      <c r="AU190" s="348">
        <f t="shared" si="65"/>
        <v>236.20305871525869</v>
      </c>
      <c r="AV190" s="350">
        <f t="shared" si="59"/>
        <v>-183.4860229548801</v>
      </c>
      <c r="AW190" s="350">
        <f t="shared" si="60"/>
        <v>-168.11397704511992</v>
      </c>
      <c r="AX190" s="351">
        <f t="shared" si="61"/>
        <v>-63.220074277006283</v>
      </c>
      <c r="AY190" s="351">
        <f t="shared" si="62"/>
        <v>-59.483453879126962</v>
      </c>
      <c r="AZ190" s="1043"/>
      <c r="BA190" s="241">
        <f t="shared" si="46"/>
        <v>63.220074277006283</v>
      </c>
      <c r="BB190" s="242">
        <f t="shared" si="47"/>
        <v>59.483453879126962</v>
      </c>
      <c r="BF190" s="260">
        <v>8</v>
      </c>
      <c r="BG190" s="261">
        <f t="shared" si="71"/>
        <v>-172</v>
      </c>
      <c r="BH190" s="31">
        <f t="shared" si="72"/>
        <v>-171.97380356689933</v>
      </c>
      <c r="BI190" s="263">
        <f t="shared" si="68"/>
        <v>-401.6691799374953</v>
      </c>
      <c r="BJ190" s="264">
        <f t="shared" si="69"/>
        <v>401.6691799374953</v>
      </c>
      <c r="BK190" s="264">
        <f t="shared" si="73"/>
        <v>14.728121911971868</v>
      </c>
      <c r="BL190" s="264" t="b">
        <f t="shared" si="70"/>
        <v>0</v>
      </c>
      <c r="BM190" s="266">
        <v>8</v>
      </c>
      <c r="DF190" s="109"/>
    </row>
    <row r="191" spans="1:134" ht="21" thickBot="1" x14ac:dyDescent="0.35">
      <c r="B191" s="244">
        <v>15</v>
      </c>
      <c r="C191" s="245"/>
      <c r="D191" s="16">
        <v>1</v>
      </c>
      <c r="E191" s="234" t="s">
        <v>215</v>
      </c>
      <c r="F191" s="235"/>
      <c r="G191" s="235">
        <f t="shared" si="48"/>
        <v>1</v>
      </c>
      <c r="H191" s="888">
        <v>251.073172</v>
      </c>
      <c r="I191" s="889">
        <v>65.636175100000003</v>
      </c>
      <c r="J191" s="374">
        <f t="shared" si="49"/>
        <v>64.636175100000003</v>
      </c>
      <c r="K191" s="374">
        <f t="shared" si="50"/>
        <v>32.318087550000001</v>
      </c>
      <c r="L191" s="374">
        <f t="shared" si="38"/>
        <v>0.53461916118589337</v>
      </c>
      <c r="M191" s="374">
        <f t="shared" si="39"/>
        <v>134.22852861092153</v>
      </c>
      <c r="N191" s="374">
        <f t="shared" si="40"/>
        <v>268.45705722184306</v>
      </c>
      <c r="O191" s="374">
        <f>+C177+D178+D179+D180+D181+D182+D183+D184+D185+D186+D187+D188+D189+D190+(D191/2)</f>
        <v>13.5</v>
      </c>
      <c r="P191" s="374">
        <f t="shared" si="41"/>
        <v>0.23344536385590517</v>
      </c>
      <c r="Q191" s="374">
        <f t="shared" si="42"/>
        <v>62.670055402838706</v>
      </c>
      <c r="R191" s="374">
        <f t="shared" si="51"/>
        <v>605.23153371009153</v>
      </c>
      <c r="S191" s="374">
        <f t="shared" si="63"/>
        <v>667.9015891129302</v>
      </c>
      <c r="T191" s="375">
        <f t="shared" si="43"/>
        <v>667.9015891129302</v>
      </c>
      <c r="V191" s="929">
        <f t="shared" si="44"/>
        <v>0</v>
      </c>
      <c r="W191" s="340"/>
      <c r="X191" s="340"/>
      <c r="Y191" s="340"/>
      <c r="Z191" s="340"/>
      <c r="AA191" s="340"/>
      <c r="AB191" s="257" t="str">
        <f t="shared" si="52"/>
        <v>use the locking pin</v>
      </c>
      <c r="AC191" s="377"/>
      <c r="AD191" s="377"/>
      <c r="AE191" s="377"/>
      <c r="AF191" s="966">
        <f>SUM(V191:V202)/($B$174-B190)</f>
        <v>0</v>
      </c>
      <c r="AG191" s="971">
        <f>SUM(D178:D191)+$C$177</f>
        <v>14</v>
      </c>
      <c r="AH191" s="353"/>
      <c r="AI191" s="944">
        <f t="shared" si="53"/>
        <v>61.499008599999996</v>
      </c>
      <c r="AJ191" s="575">
        <f t="shared" si="45"/>
        <v>0.87880885615971105</v>
      </c>
      <c r="AK191" s="944">
        <f t="shared" si="54"/>
        <v>255.4195263780579</v>
      </c>
      <c r="AL191" s="944">
        <f t="shared" si="55"/>
        <v>71.181912400000002</v>
      </c>
      <c r="AM191" s="968">
        <f t="shared" si="56"/>
        <v>0.94654747747751544</v>
      </c>
      <c r="AN191" s="944">
        <f t="shared" si="57"/>
        <v>237.65267761887836</v>
      </c>
      <c r="AO191" s="969"/>
      <c r="AP191" s="251">
        <f t="shared" si="64"/>
        <v>-380.90000000000003</v>
      </c>
      <c r="AQ191" s="347"/>
      <c r="AR191" s="347">
        <f t="shared" si="58"/>
        <v>493.07220399693625</v>
      </c>
      <c r="AS191" s="348">
        <f t="shared" si="66"/>
        <v>-237.65267761887836</v>
      </c>
      <c r="AT191" s="348"/>
      <c r="AU191" s="348">
        <f t="shared" si="65"/>
        <v>237.65267761887836</v>
      </c>
      <c r="AV191" s="350">
        <f t="shared" si="59"/>
        <v>-197.31247636503713</v>
      </c>
      <c r="AW191" s="350">
        <f t="shared" si="60"/>
        <v>-183.58752363496288</v>
      </c>
      <c r="AX191" s="351">
        <f t="shared" si="61"/>
        <v>-58.78999753943318</v>
      </c>
      <c r="AY191" s="351">
        <f t="shared" si="62"/>
        <v>-54.469932389760579</v>
      </c>
      <c r="AZ191" s="1043"/>
      <c r="BA191" s="241">
        <f t="shared" si="46"/>
        <v>58.78999753943318</v>
      </c>
      <c r="BB191" s="242">
        <f t="shared" si="47"/>
        <v>54.469932389760579</v>
      </c>
      <c r="BF191" s="260">
        <v>9</v>
      </c>
      <c r="BG191" s="261">
        <f t="shared" si="71"/>
        <v>-129</v>
      </c>
      <c r="BH191" s="31">
        <f t="shared" si="72"/>
        <v>-128.98035267517452</v>
      </c>
      <c r="BI191" s="263">
        <f t="shared" si="68"/>
        <v>-358.67572904577048</v>
      </c>
      <c r="BJ191" s="264">
        <f t="shared" si="69"/>
        <v>358.67572904577048</v>
      </c>
      <c r="BK191" s="264">
        <f t="shared" si="73"/>
        <v>14.728121911971868</v>
      </c>
      <c r="BL191" s="264" t="b">
        <f t="shared" si="70"/>
        <v>0</v>
      </c>
      <c r="BM191" s="266">
        <v>9</v>
      </c>
      <c r="DF191" s="216"/>
      <c r="DG191" s="274"/>
      <c r="DH191" s="274"/>
      <c r="DI191" s="274"/>
      <c r="DJ191" s="274"/>
      <c r="DK191" s="274"/>
      <c r="DL191" s="274"/>
      <c r="DM191" s="274"/>
      <c r="DN191" s="274"/>
      <c r="DO191" s="274"/>
      <c r="DP191" s="274"/>
      <c r="DQ191" s="274"/>
      <c r="DR191" s="274"/>
      <c r="DS191" s="274"/>
      <c r="DT191" s="274"/>
      <c r="DU191" s="274"/>
      <c r="DV191" s="274"/>
      <c r="DW191" s="274"/>
      <c r="DX191" s="274"/>
      <c r="DY191" s="274"/>
      <c r="DZ191" s="274"/>
      <c r="EA191" s="274"/>
      <c r="EB191" s="274"/>
      <c r="EC191" s="274"/>
      <c r="ED191" s="274"/>
    </row>
    <row r="192" spans="1:134" ht="21" thickBot="1" x14ac:dyDescent="0.35">
      <c r="B192" s="244">
        <v>16</v>
      </c>
      <c r="C192" s="245"/>
      <c r="D192" s="16">
        <v>1</v>
      </c>
      <c r="E192" s="234" t="s">
        <v>215</v>
      </c>
      <c r="F192" s="235"/>
      <c r="G192" s="235">
        <f t="shared" si="48"/>
        <v>1</v>
      </c>
      <c r="H192" s="888">
        <v>251.073172</v>
      </c>
      <c r="I192" s="889">
        <v>65.636175100000003</v>
      </c>
      <c r="J192" s="374">
        <f t="shared" si="49"/>
        <v>64.636175100000003</v>
      </c>
      <c r="K192" s="374">
        <f t="shared" si="50"/>
        <v>32.318087550000001</v>
      </c>
      <c r="L192" s="374">
        <f t="shared" si="38"/>
        <v>0.53461916118589337</v>
      </c>
      <c r="M192" s="374">
        <f t="shared" si="39"/>
        <v>134.22852861092153</v>
      </c>
      <c r="N192" s="374">
        <f t="shared" si="40"/>
        <v>268.45705722184306</v>
      </c>
      <c r="O192" s="374">
        <f>+C177+D178+D179+D180+D181+D182+D183+D184+D185+D186+D187+D188+D189+D190+D191+(D192/2)</f>
        <v>14.5</v>
      </c>
      <c r="P192" s="374">
        <f t="shared" si="41"/>
        <v>0.25038000405444116</v>
      </c>
      <c r="Q192" s="374">
        <f t="shared" si="42"/>
        <v>67.216279075648401</v>
      </c>
      <c r="R192" s="374">
        <f t="shared" si="51"/>
        <v>667.9015891129302</v>
      </c>
      <c r="S192" s="374">
        <f t="shared" si="63"/>
        <v>735.11786818857854</v>
      </c>
      <c r="T192" s="375">
        <f t="shared" si="43"/>
        <v>735.11786818857854</v>
      </c>
      <c r="V192" s="929">
        <f t="shared" si="44"/>
        <v>0</v>
      </c>
      <c r="W192" s="340"/>
      <c r="X192" s="340"/>
      <c r="Y192" s="340"/>
      <c r="Z192" s="340"/>
      <c r="AA192" s="340"/>
      <c r="AB192" s="257" t="str">
        <f t="shared" si="52"/>
        <v>use the locking pin</v>
      </c>
      <c r="AC192" s="377"/>
      <c r="AD192" s="377"/>
      <c r="AE192" s="377"/>
      <c r="AF192" s="966">
        <f>SUM(V192:V202)/($B$174-B191)</f>
        <v>0</v>
      </c>
      <c r="AG192" s="971">
        <f>SUM(D178:D192)+$C$177</f>
        <v>15</v>
      </c>
      <c r="AH192" s="353"/>
      <c r="AI192" s="944">
        <f t="shared" si="53"/>
        <v>60.499008599999996</v>
      </c>
      <c r="AJ192" s="575">
        <f t="shared" si="45"/>
        <v>0.87034717530911587</v>
      </c>
      <c r="AK192" s="944">
        <f t="shared" si="54"/>
        <v>252.96019918754024</v>
      </c>
      <c r="AL192" s="944">
        <f t="shared" si="55"/>
        <v>72.181912400000002</v>
      </c>
      <c r="AM192" s="968">
        <f t="shared" si="56"/>
        <v>0.95203284090704099</v>
      </c>
      <c r="AN192" s="944">
        <f t="shared" si="57"/>
        <v>239.02990521470213</v>
      </c>
      <c r="AO192" s="969"/>
      <c r="AP192" s="251">
        <f t="shared" si="64"/>
        <v>-410.2</v>
      </c>
      <c r="AQ192" s="347"/>
      <c r="AR192" s="347">
        <f t="shared" si="58"/>
        <v>491.99010440224237</v>
      </c>
      <c r="AS192" s="348">
        <f t="shared" si="66"/>
        <v>-239.02990521470213</v>
      </c>
      <c r="AT192" s="348"/>
      <c r="AU192" s="348">
        <f t="shared" si="65"/>
        <v>239.02990521470213</v>
      </c>
      <c r="AV192" s="350">
        <f t="shared" si="59"/>
        <v>-210.90723731689766</v>
      </c>
      <c r="AW192" s="350">
        <f t="shared" si="60"/>
        <v>-199.2927626831023</v>
      </c>
      <c r="AX192" s="351">
        <f t="shared" si="61"/>
        <v>-55.00048337635031</v>
      </c>
      <c r="AY192" s="351">
        <f t="shared" si="62"/>
        <v>-50.17743677878115</v>
      </c>
      <c r="AZ192" s="1043"/>
      <c r="BA192" s="241">
        <f t="shared" si="46"/>
        <v>55.00048337635031</v>
      </c>
      <c r="BB192" s="242">
        <f t="shared" si="47"/>
        <v>50.17743677878115</v>
      </c>
      <c r="BF192" s="260">
        <v>10</v>
      </c>
      <c r="BG192" s="261">
        <f t="shared" si="71"/>
        <v>-86</v>
      </c>
      <c r="BH192" s="31">
        <f t="shared" si="72"/>
        <v>-85.986901783449696</v>
      </c>
      <c r="BI192" s="263">
        <f t="shared" si="68"/>
        <v>-315.68227815404566</v>
      </c>
      <c r="BJ192" s="264">
        <f t="shared" si="69"/>
        <v>315.68227815404566</v>
      </c>
      <c r="BK192" s="264">
        <f t="shared" si="73"/>
        <v>14.728121911971868</v>
      </c>
      <c r="BL192" s="264" t="b">
        <f t="shared" si="70"/>
        <v>0</v>
      </c>
      <c r="BM192" s="266">
        <v>10</v>
      </c>
      <c r="DF192" s="109"/>
      <c r="DG192" s="186"/>
      <c r="DH192" s="186"/>
      <c r="DI192" s="186"/>
      <c r="DJ192" s="186"/>
      <c r="DK192" s="186"/>
      <c r="DL192" s="186"/>
      <c r="DM192" s="186"/>
      <c r="DN192" s="186"/>
      <c r="DO192" s="186"/>
      <c r="DP192" s="186"/>
      <c r="DQ192" s="186"/>
      <c r="DR192" s="186"/>
      <c r="DS192" s="186"/>
      <c r="DT192" s="186"/>
      <c r="DU192" s="186"/>
      <c r="DV192" s="186"/>
      <c r="DW192" s="186"/>
      <c r="DX192" s="186"/>
      <c r="DY192" s="186"/>
      <c r="DZ192" s="186"/>
      <c r="EA192" s="186"/>
      <c r="EB192" s="186"/>
      <c r="EC192" s="186"/>
      <c r="ED192" s="186"/>
    </row>
    <row r="193" spans="2:134" ht="21" thickBot="1" x14ac:dyDescent="0.35">
      <c r="B193" s="244">
        <v>17</v>
      </c>
      <c r="C193" s="245"/>
      <c r="D193" s="16">
        <v>1</v>
      </c>
      <c r="E193" s="234" t="s">
        <v>215</v>
      </c>
      <c r="F193" s="235"/>
      <c r="G193" s="235">
        <f t="shared" si="48"/>
        <v>1</v>
      </c>
      <c r="H193" s="888">
        <v>251.073172</v>
      </c>
      <c r="I193" s="889">
        <v>65.636175100000003</v>
      </c>
      <c r="J193" s="374">
        <f t="shared" si="49"/>
        <v>64.636175100000003</v>
      </c>
      <c r="K193" s="374">
        <f t="shared" si="50"/>
        <v>32.318087550000001</v>
      </c>
      <c r="L193" s="374">
        <f t="shared" si="38"/>
        <v>0.53461916118589337</v>
      </c>
      <c r="M193" s="374">
        <f t="shared" si="39"/>
        <v>134.22852861092153</v>
      </c>
      <c r="N193" s="374">
        <f t="shared" si="40"/>
        <v>268.45705722184306</v>
      </c>
      <c r="O193" s="374">
        <f>+C177+D178+D179+D180+D181+D182+D183+D184+D185+D186+D187+D188+D189+D190+D191+D192+(D193/2)</f>
        <v>15.5</v>
      </c>
      <c r="P193" s="374">
        <f t="shared" si="41"/>
        <v>0.26723837607825657</v>
      </c>
      <c r="Q193" s="374">
        <f t="shared" si="42"/>
        <v>71.742028018712944</v>
      </c>
      <c r="R193" s="374">
        <f t="shared" si="51"/>
        <v>735.11786818857854</v>
      </c>
      <c r="S193" s="374">
        <f t="shared" si="63"/>
        <v>806.85989620729151</v>
      </c>
      <c r="T193" s="375">
        <f t="shared" si="43"/>
        <v>806.85989620729151</v>
      </c>
      <c r="V193" s="929">
        <f t="shared" si="44"/>
        <v>0</v>
      </c>
      <c r="W193" s="340"/>
      <c r="X193" s="340"/>
      <c r="Y193" s="340"/>
      <c r="Z193" s="340"/>
      <c r="AA193" s="340"/>
      <c r="AB193" s="257" t="str">
        <f t="shared" si="52"/>
        <v>use the locking pin</v>
      </c>
      <c r="AC193" s="377"/>
      <c r="AD193" s="377"/>
      <c r="AE193" s="377"/>
      <c r="AF193" s="966">
        <f>SUM(V193:V202)/($B$174-B192)</f>
        <v>0</v>
      </c>
      <c r="AG193" s="971">
        <f>SUM(D178:D193)+$C$177</f>
        <v>16</v>
      </c>
      <c r="AH193" s="353"/>
      <c r="AI193" s="944">
        <f t="shared" si="53"/>
        <v>59.499008599999996</v>
      </c>
      <c r="AJ193" s="575">
        <f t="shared" si="45"/>
        <v>0.86162037827767901</v>
      </c>
      <c r="AK193" s="944">
        <f t="shared" si="54"/>
        <v>250.42381786986954</v>
      </c>
      <c r="AL193" s="944">
        <f t="shared" si="55"/>
        <v>73.181912400000002</v>
      </c>
      <c r="AM193" s="968">
        <f t="shared" si="56"/>
        <v>0.95722820591067703</v>
      </c>
      <c r="AN193" s="944">
        <f t="shared" si="57"/>
        <v>240.33432198586283</v>
      </c>
      <c r="AO193" s="969"/>
      <c r="AP193" s="251">
        <f t="shared" si="64"/>
        <v>-439.5</v>
      </c>
      <c r="AQ193" s="347"/>
      <c r="AR193" s="347">
        <f t="shared" si="58"/>
        <v>490.75813985573234</v>
      </c>
      <c r="AS193" s="348">
        <f t="shared" si="66"/>
        <v>-240.33432198586283</v>
      </c>
      <c r="AT193" s="348"/>
      <c r="AU193" s="348">
        <f t="shared" si="65"/>
        <v>240.33432198586283</v>
      </c>
      <c r="AV193" s="350">
        <f t="shared" si="59"/>
        <v>-224.26783993060664</v>
      </c>
      <c r="AW193" s="350">
        <f t="shared" si="60"/>
        <v>-215.23216006939336</v>
      </c>
      <c r="AX193" s="351">
        <f t="shared" si="61"/>
        <v>-51.723867334653477</v>
      </c>
      <c r="AY193" s="351">
        <f t="shared" si="62"/>
        <v>-46.461458161159015</v>
      </c>
      <c r="AZ193" s="1043"/>
      <c r="BA193" s="241">
        <f t="shared" si="46"/>
        <v>51.723867334653477</v>
      </c>
      <c r="BB193" s="242">
        <f t="shared" si="47"/>
        <v>46.461458161159015</v>
      </c>
      <c r="BF193" s="260">
        <v>11</v>
      </c>
      <c r="BG193" s="261">
        <f t="shared" si="71"/>
        <v>-43</v>
      </c>
      <c r="BH193" s="31">
        <f t="shared" si="72"/>
        <v>-42.993450891724869</v>
      </c>
      <c r="BI193" s="263">
        <f t="shared" si="68"/>
        <v>-272.68882726232084</v>
      </c>
      <c r="BJ193" s="264">
        <f t="shared" si="69"/>
        <v>272.68882726232084</v>
      </c>
      <c r="BK193" s="264">
        <f t="shared" si="73"/>
        <v>14.728121911971868</v>
      </c>
      <c r="BL193" s="264" t="b">
        <f t="shared" si="70"/>
        <v>0</v>
      </c>
      <c r="BM193" s="266">
        <v>11</v>
      </c>
    </row>
    <row r="194" spans="2:134" ht="21" thickBot="1" x14ac:dyDescent="0.35">
      <c r="B194" s="244">
        <v>18</v>
      </c>
      <c r="C194" s="245"/>
      <c r="D194" s="16">
        <v>1</v>
      </c>
      <c r="E194" s="234" t="s">
        <v>215</v>
      </c>
      <c r="F194" s="235"/>
      <c r="G194" s="235">
        <f t="shared" si="48"/>
        <v>1</v>
      </c>
      <c r="H194" s="888">
        <v>251.073172</v>
      </c>
      <c r="I194" s="889">
        <v>65.636175100000003</v>
      </c>
      <c r="J194" s="374">
        <f t="shared" si="49"/>
        <v>64.636175100000003</v>
      </c>
      <c r="K194" s="374">
        <f t="shared" si="50"/>
        <v>32.318087550000001</v>
      </c>
      <c r="L194" s="374">
        <f t="shared" si="38"/>
        <v>0.53461916118589337</v>
      </c>
      <c r="M194" s="374">
        <f t="shared" si="39"/>
        <v>134.22852861092153</v>
      </c>
      <c r="N194" s="374">
        <f t="shared" si="40"/>
        <v>268.45705722184306</v>
      </c>
      <c r="O194" s="374">
        <f>+C177+D178+D179+D180+D181+D182+D183+D184+D185+D186+D187+D188+D189+D190+D191+D192+D193+(D194/2)</f>
        <v>16.5</v>
      </c>
      <c r="P194" s="374">
        <f t="shared" si="41"/>
        <v>0.28401534470392237</v>
      </c>
      <c r="Q194" s="374">
        <f t="shared" si="42"/>
        <v>76.245923645062362</v>
      </c>
      <c r="R194" s="374">
        <f t="shared" si="51"/>
        <v>806.85989620729151</v>
      </c>
      <c r="S194" s="374">
        <f t="shared" si="63"/>
        <v>883.10581985235387</v>
      </c>
      <c r="T194" s="375">
        <f t="shared" si="43"/>
        <v>883.10581985235387</v>
      </c>
      <c r="V194" s="929">
        <f t="shared" si="44"/>
        <v>0</v>
      </c>
      <c r="W194" s="340"/>
      <c r="X194" s="340"/>
      <c r="Y194" s="340"/>
      <c r="Z194" s="340"/>
      <c r="AA194" s="340"/>
      <c r="AB194" s="257" t="str">
        <f t="shared" si="52"/>
        <v>use the locking pin</v>
      </c>
      <c r="AC194" s="377"/>
      <c r="AD194" s="377"/>
      <c r="AE194" s="377"/>
      <c r="AF194" s="966">
        <f>SUM(V194:V202)/($B$174-B193)</f>
        <v>0</v>
      </c>
      <c r="AG194" s="971">
        <f>SUM(D178:D194)+$C$177</f>
        <v>17</v>
      </c>
      <c r="AH194" s="353"/>
      <c r="AI194" s="944">
        <f t="shared" si="53"/>
        <v>58.499008599999996</v>
      </c>
      <c r="AJ194" s="575">
        <f t="shared" si="45"/>
        <v>0.85263112333231494</v>
      </c>
      <c r="AK194" s="944">
        <f t="shared" si="54"/>
        <v>247.81115503136576</v>
      </c>
      <c r="AL194" s="944">
        <f t="shared" si="55"/>
        <v>74.181912400000002</v>
      </c>
      <c r="AM194" s="968">
        <f t="shared" si="56"/>
        <v>0.96213198992991489</v>
      </c>
      <c r="AN194" s="944">
        <f t="shared" si="57"/>
        <v>241.56553059437579</v>
      </c>
      <c r="AO194" s="969"/>
      <c r="AP194" s="251">
        <f t="shared" si="64"/>
        <v>-468.8</v>
      </c>
      <c r="AQ194" s="347"/>
      <c r="AR194" s="347">
        <f t="shared" si="58"/>
        <v>489.37668562574152</v>
      </c>
      <c r="AS194" s="348">
        <f t="shared" si="66"/>
        <v>-241.56553059437579</v>
      </c>
      <c r="AT194" s="348"/>
      <c r="AU194" s="348">
        <f t="shared" si="65"/>
        <v>241.56553059437579</v>
      </c>
      <c r="AV194" s="350">
        <f t="shared" si="59"/>
        <v>-237.39150820018841</v>
      </c>
      <c r="AW194" s="350">
        <f t="shared" si="60"/>
        <v>-231.40849179981157</v>
      </c>
      <c r="AX194" s="351">
        <f t="shared" si="61"/>
        <v>-48.864426903669646</v>
      </c>
      <c r="AY194" s="351">
        <f t="shared" si="62"/>
        <v>-43.213625922815609</v>
      </c>
      <c r="AZ194" s="1043"/>
      <c r="BA194" s="241">
        <f t="shared" si="46"/>
        <v>48.864426903669646</v>
      </c>
      <c r="BB194" s="242">
        <f t="shared" si="47"/>
        <v>43.213625922815609</v>
      </c>
      <c r="BF194" s="260">
        <v>12</v>
      </c>
      <c r="BG194" s="261">
        <f t="shared" si="71"/>
        <v>0</v>
      </c>
      <c r="BH194" s="31">
        <f t="shared" si="72"/>
        <v>0</v>
      </c>
      <c r="BI194" s="263">
        <f t="shared" si="68"/>
        <v>-229.69537637059599</v>
      </c>
      <c r="BJ194" s="264">
        <f t="shared" si="69"/>
        <v>229.69537637059599</v>
      </c>
      <c r="BK194" s="264">
        <f t="shared" si="73"/>
        <v>14.728121911971868</v>
      </c>
      <c r="BL194" s="264" t="b">
        <f t="shared" si="70"/>
        <v>0</v>
      </c>
      <c r="BM194" s="266">
        <v>12</v>
      </c>
      <c r="DG194" s="217"/>
      <c r="DH194" s="217"/>
      <c r="DI194" s="217"/>
      <c r="DJ194" s="217"/>
      <c r="DK194" s="217"/>
      <c r="DL194" s="217"/>
      <c r="DM194" s="109"/>
      <c r="DN194" s="109"/>
      <c r="DO194" s="109"/>
      <c r="DP194" s="109"/>
      <c r="DQ194" s="109"/>
      <c r="DR194" s="217"/>
      <c r="DS194" s="217"/>
      <c r="DT194" s="217"/>
      <c r="DU194" s="109"/>
      <c r="DV194" s="109"/>
      <c r="DW194" s="109"/>
      <c r="DX194" s="109"/>
      <c r="DY194" s="109"/>
      <c r="DZ194" s="109"/>
      <c r="EA194" s="109"/>
      <c r="EB194" s="109"/>
      <c r="EC194" s="109"/>
      <c r="ED194" s="109"/>
    </row>
    <row r="195" spans="2:134" ht="21" thickBot="1" x14ac:dyDescent="0.35">
      <c r="B195" s="244">
        <v>19</v>
      </c>
      <c r="C195" s="245"/>
      <c r="D195" s="16">
        <v>1</v>
      </c>
      <c r="E195" s="234" t="s">
        <v>215</v>
      </c>
      <c r="F195" s="235"/>
      <c r="G195" s="235">
        <f t="shared" si="48"/>
        <v>1</v>
      </c>
      <c r="H195" s="888">
        <v>251.073172</v>
      </c>
      <c r="I195" s="889">
        <v>65.636175100000003</v>
      </c>
      <c r="J195" s="374">
        <f t="shared" si="49"/>
        <v>64.636175100000003</v>
      </c>
      <c r="K195" s="374">
        <f t="shared" si="50"/>
        <v>32.318087550000001</v>
      </c>
      <c r="L195" s="374">
        <f t="shared" si="38"/>
        <v>0.53461916118589337</v>
      </c>
      <c r="M195" s="374">
        <f t="shared" si="39"/>
        <v>134.22852861092153</v>
      </c>
      <c r="N195" s="374">
        <f t="shared" si="40"/>
        <v>268.45705722184306</v>
      </c>
      <c r="O195" s="374">
        <f>+C177+D178+D179+D180+D181+D182+D183+D184+D185+D186+D187+D188+D189+D190+D191+D192+D193+D194+(D195/2)</f>
        <v>17.5</v>
      </c>
      <c r="P195" s="374">
        <f t="shared" si="41"/>
        <v>0.30070579950427284</v>
      </c>
      <c r="Q195" s="374">
        <f t="shared" si="42"/>
        <v>80.726594024458635</v>
      </c>
      <c r="R195" s="374">
        <f t="shared" si="51"/>
        <v>883.10581985235387</v>
      </c>
      <c r="S195" s="374">
        <f t="shared" si="63"/>
        <v>963.83241387681255</v>
      </c>
      <c r="T195" s="375">
        <f t="shared" si="43"/>
        <v>963.83241387681255</v>
      </c>
      <c r="V195" s="929">
        <f t="shared" si="44"/>
        <v>0</v>
      </c>
      <c r="W195" s="340"/>
      <c r="X195" s="340"/>
      <c r="Y195" s="340"/>
      <c r="Z195" s="340"/>
      <c r="AA195" s="340"/>
      <c r="AB195" s="235" t="str">
        <f t="shared" si="52"/>
        <v>use the locking pin</v>
      </c>
      <c r="AC195" s="377"/>
      <c r="AD195" s="377"/>
      <c r="AE195" s="377"/>
      <c r="AF195" s="966">
        <f>SUM(V195:V202)/($B$174-B194)</f>
        <v>0</v>
      </c>
      <c r="AG195" s="971">
        <f>SUM(D178:D195)+$C$177</f>
        <v>18</v>
      </c>
      <c r="AH195" s="353"/>
      <c r="AI195" s="944">
        <f t="shared" si="53"/>
        <v>57.499008599999996</v>
      </c>
      <c r="AJ195" s="575">
        <f t="shared" si="45"/>
        <v>0.84338214868716044</v>
      </c>
      <c r="AK195" s="944">
        <f t="shared" si="54"/>
        <v>245.12300651443877</v>
      </c>
      <c r="AL195" s="944">
        <f t="shared" si="55"/>
        <v>75.181912400000002</v>
      </c>
      <c r="AM195" s="968">
        <f t="shared" si="56"/>
        <v>0.96674269922463818</v>
      </c>
      <c r="AN195" s="944">
        <f t="shared" si="57"/>
        <v>242.72315600217186</v>
      </c>
      <c r="AO195" s="969"/>
      <c r="AP195" s="251">
        <f t="shared" si="64"/>
        <v>-498.1</v>
      </c>
      <c r="AQ195" s="347"/>
      <c r="AR195" s="347">
        <f t="shared" si="58"/>
        <v>487.84616251661066</v>
      </c>
      <c r="AS195" s="348">
        <f t="shared" si="66"/>
        <v>-242.72315600217186</v>
      </c>
      <c r="AT195" s="348"/>
      <c r="AU195" s="348">
        <f t="shared" si="65"/>
        <v>242.72315600217186</v>
      </c>
      <c r="AV195" s="350">
        <f t="shared" si="59"/>
        <v>-250.27514599068869</v>
      </c>
      <c r="AW195" s="350">
        <f t="shared" si="60"/>
        <v>-247.82485400931134</v>
      </c>
      <c r="AX195" s="351">
        <f t="shared" si="61"/>
        <v>-46.348989045966114</v>
      </c>
      <c r="AY195" s="351">
        <f t="shared" si="62"/>
        <v>-40.351077941618712</v>
      </c>
      <c r="AZ195" s="1043"/>
      <c r="BA195" s="241">
        <f t="shared" si="46"/>
        <v>46.348989045966114</v>
      </c>
      <c r="BB195" s="242">
        <f t="shared" si="47"/>
        <v>40.351077941618712</v>
      </c>
      <c r="BF195" s="260">
        <v>13</v>
      </c>
      <c r="BG195" s="261">
        <f t="shared" si="71"/>
        <v>43</v>
      </c>
      <c r="BH195" s="31">
        <f t="shared" si="72"/>
        <v>42.993450891724827</v>
      </c>
      <c r="BI195" s="263">
        <f t="shared" si="68"/>
        <v>-186.70192547887117</v>
      </c>
      <c r="BJ195" s="264">
        <f t="shared" si="69"/>
        <v>186.70192547887117</v>
      </c>
      <c r="BK195" s="264">
        <f t="shared" si="73"/>
        <v>14.728121911971868</v>
      </c>
      <c r="BL195" s="264" t="b">
        <f t="shared" si="70"/>
        <v>0</v>
      </c>
      <c r="BM195" s="266">
        <v>13</v>
      </c>
      <c r="DG195" s="217"/>
      <c r="DH195" s="217"/>
      <c r="DI195" s="217"/>
      <c r="DJ195" s="217"/>
      <c r="DK195" s="217"/>
      <c r="DL195" s="217"/>
      <c r="DQ195" s="217"/>
      <c r="DR195" s="217"/>
      <c r="DS195" s="217"/>
      <c r="DT195" s="217"/>
      <c r="DY195" s="217"/>
      <c r="DZ195" s="217"/>
      <c r="EA195" s="217"/>
      <c r="EB195" s="217"/>
      <c r="EC195" s="217"/>
      <c r="ED195" s="217"/>
    </row>
    <row r="196" spans="2:134" ht="21" thickBot="1" x14ac:dyDescent="0.35">
      <c r="B196" s="244">
        <v>20</v>
      </c>
      <c r="C196" s="245"/>
      <c r="D196" s="16">
        <v>1</v>
      </c>
      <c r="E196" s="234" t="s">
        <v>215</v>
      </c>
      <c r="F196" s="235"/>
      <c r="G196" s="235">
        <f t="shared" si="48"/>
        <v>1</v>
      </c>
      <c r="H196" s="888">
        <v>251.073172</v>
      </c>
      <c r="I196" s="889">
        <v>65.636175100000003</v>
      </c>
      <c r="J196" s="374">
        <f t="shared" si="49"/>
        <v>64.636175100000003</v>
      </c>
      <c r="K196" s="374">
        <f t="shared" si="50"/>
        <v>32.318087550000001</v>
      </c>
      <c r="L196" s="374">
        <f t="shared" si="38"/>
        <v>0.53461916118589337</v>
      </c>
      <c r="M196" s="374">
        <f t="shared" si="39"/>
        <v>134.22852861092153</v>
      </c>
      <c r="N196" s="374">
        <f t="shared" si="40"/>
        <v>268.45705722184306</v>
      </c>
      <c r="O196" s="48">
        <f>+C177+D178+D179+D180+D181+D182+D183+D184+D185+D186+D187+D188+D189+D190+D191+D192+D193+D194+D195+(D196/2)</f>
        <v>18.5</v>
      </c>
      <c r="P196" s="374">
        <f t="shared" si="41"/>
        <v>0.31730465640509181</v>
      </c>
      <c r="Q196" s="374">
        <f t="shared" si="42"/>
        <v>85.182674301298988</v>
      </c>
      <c r="R196" s="374">
        <f t="shared" si="51"/>
        <v>963.83241387681255</v>
      </c>
      <c r="S196" s="374">
        <f t="shared" si="63"/>
        <v>1049.0150881781115</v>
      </c>
      <c r="T196" s="375">
        <f t="shared" si="43"/>
        <v>1049.0150881781115</v>
      </c>
      <c r="V196" s="929">
        <f t="shared" si="44"/>
        <v>0</v>
      </c>
      <c r="W196" s="340"/>
      <c r="X196" s="340"/>
      <c r="Y196" s="340"/>
      <c r="Z196" s="340"/>
      <c r="AA196" s="340"/>
      <c r="AB196" s="248" t="str">
        <f t="shared" si="52"/>
        <v>use the locking pin</v>
      </c>
      <c r="AC196" s="377"/>
      <c r="AD196" s="377"/>
      <c r="AE196" s="377"/>
      <c r="AF196" s="966">
        <f>SUM(V196:V202)/($B$174-B195)</f>
        <v>0</v>
      </c>
      <c r="AG196" s="971">
        <f>SUM(D178:D196)+$C$177</f>
        <v>19</v>
      </c>
      <c r="AH196" s="353"/>
      <c r="AI196" s="944">
        <f t="shared" si="53"/>
        <v>56.499008599999996</v>
      </c>
      <c r="AJ196" s="575">
        <f t="shared" si="45"/>
        <v>0.83387627166948974</v>
      </c>
      <c r="AK196" s="944">
        <f t="shared" si="54"/>
        <v>242.36019115516766</v>
      </c>
      <c r="AL196" s="944">
        <f t="shared" si="55"/>
        <v>76.181912400000002</v>
      </c>
      <c r="AM196" s="968">
        <f t="shared" si="56"/>
        <v>0.97105892932813076</v>
      </c>
      <c r="AN196" s="944">
        <f t="shared" si="57"/>
        <v>243.80684558533761</v>
      </c>
      <c r="AO196" s="969"/>
      <c r="AP196" s="251">
        <f t="shared" si="64"/>
        <v>-527.4</v>
      </c>
      <c r="AQ196" s="347"/>
      <c r="AR196" s="347">
        <f t="shared" si="58"/>
        <v>486.1670367405053</v>
      </c>
      <c r="AS196" s="348">
        <f t="shared" si="66"/>
        <v>-243.80684558533761</v>
      </c>
      <c r="AT196" s="348"/>
      <c r="AU196" s="348">
        <f t="shared" si="65"/>
        <v>243.80684558533761</v>
      </c>
      <c r="AV196" s="350">
        <f t="shared" si="59"/>
        <v>-262.91532571234472</v>
      </c>
      <c r="AW196" s="350">
        <f t="shared" si="60"/>
        <v>-264.48467428765525</v>
      </c>
      <c r="AX196" s="351">
        <f t="shared" si="61"/>
        <v>-44.120668768817012</v>
      </c>
      <c r="AY196" s="351">
        <f t="shared" si="62"/>
        <v>-37.809374123220216</v>
      </c>
      <c r="AZ196" s="1043"/>
      <c r="BA196" s="241">
        <f t="shared" si="46"/>
        <v>44.120668768817012</v>
      </c>
      <c r="BB196" s="242">
        <f t="shared" si="47"/>
        <v>37.809374123220216</v>
      </c>
      <c r="BF196" s="260">
        <v>14</v>
      </c>
      <c r="BG196" s="261">
        <f t="shared" si="71"/>
        <v>86</v>
      </c>
      <c r="BH196" s="31">
        <f t="shared" si="72"/>
        <v>85.986901783449653</v>
      </c>
      <c r="BI196" s="263">
        <f t="shared" si="68"/>
        <v>-143.70847458714633</v>
      </c>
      <c r="BJ196" s="264">
        <f t="shared" si="69"/>
        <v>143.70847458714633</v>
      </c>
      <c r="BK196" s="264">
        <f t="shared" si="73"/>
        <v>14.728121911971868</v>
      </c>
      <c r="BL196" s="264" t="b">
        <f t="shared" si="70"/>
        <v>0</v>
      </c>
      <c r="BM196" s="266">
        <v>14</v>
      </c>
    </row>
    <row r="197" spans="2:134" ht="21" thickBot="1" x14ac:dyDescent="0.35">
      <c r="B197" s="244">
        <v>21</v>
      </c>
      <c r="C197" s="890"/>
      <c r="D197" s="16">
        <v>1</v>
      </c>
      <c r="E197" s="234" t="s">
        <v>215</v>
      </c>
      <c r="F197" s="235"/>
      <c r="G197" s="235">
        <f t="shared" si="48"/>
        <v>1</v>
      </c>
      <c r="H197" s="888">
        <v>251.073172</v>
      </c>
      <c r="I197" s="889">
        <v>65.636175100000003</v>
      </c>
      <c r="J197" s="374">
        <f t="shared" si="49"/>
        <v>64.636175100000003</v>
      </c>
      <c r="K197" s="374">
        <f t="shared" si="50"/>
        <v>32.318087550000001</v>
      </c>
      <c r="L197" s="374">
        <f t="shared" si="38"/>
        <v>0.53461916118589337</v>
      </c>
      <c r="M197" s="374">
        <f t="shared" si="39"/>
        <v>134.22852861092153</v>
      </c>
      <c r="N197" s="374">
        <f t="shared" si="40"/>
        <v>268.45705722184306</v>
      </c>
      <c r="O197" s="983">
        <f>+C177+D178+D179+D180+D181+D182+D183+D184+D185+D186+D187+D188+D189+D190+D191+D192+D193+D194+D195+D196+(D197/2)</f>
        <v>19.5</v>
      </c>
      <c r="P197" s="374">
        <f t="shared" si="41"/>
        <v>0.33380685923377057</v>
      </c>
      <c r="Q197" s="374">
        <f t="shared" si="42"/>
        <v>89.612807110364059</v>
      </c>
      <c r="R197" s="374">
        <f t="shared" si="51"/>
        <v>1049.0150881781115</v>
      </c>
      <c r="S197" s="374">
        <f t="shared" si="63"/>
        <v>1138.6278952884754</v>
      </c>
      <c r="T197" s="375">
        <f t="shared" si="43"/>
        <v>1138.6278952884754</v>
      </c>
      <c r="V197" s="929">
        <f t="shared" si="44"/>
        <v>0</v>
      </c>
      <c r="AB197" s="248" t="str">
        <f t="shared" si="52"/>
        <v>use the locking pin</v>
      </c>
      <c r="AF197" s="966">
        <f>SUM(V197:V202)/($B$174-B196)</f>
        <v>0</v>
      </c>
      <c r="AG197" s="972">
        <f>SUM(D178:D197)+$C$177</f>
        <v>20</v>
      </c>
      <c r="AH197" s="353"/>
      <c r="AI197" s="944">
        <f t="shared" si="53"/>
        <v>55.499008599999996</v>
      </c>
      <c r="AJ197" s="575">
        <f t="shared" si="45"/>
        <v>0.82411638786152763</v>
      </c>
      <c r="AK197" s="944">
        <f t="shared" si="54"/>
        <v>239.52355053387478</v>
      </c>
      <c r="AL197" s="944">
        <f t="shared" si="55"/>
        <v>77.181912400000002</v>
      </c>
      <c r="AM197" s="968">
        <f t="shared" si="56"/>
        <v>0.97507936547489105</v>
      </c>
      <c r="AN197" s="944">
        <f t="shared" si="57"/>
        <v>244.81626924152818</v>
      </c>
      <c r="AO197" s="969"/>
      <c r="AP197" s="251">
        <f t="shared" si="64"/>
        <v>-556.70000000000005</v>
      </c>
      <c r="AQ197" s="347"/>
      <c r="AR197" s="347">
        <f t="shared" si="58"/>
        <v>484.33981977540293</v>
      </c>
      <c r="AS197" s="348">
        <f t="shared" si="66"/>
        <v>-244.81626924152818</v>
      </c>
      <c r="AU197" s="348">
        <f t="shared" si="65"/>
        <v>244.81626924152818</v>
      </c>
      <c r="AV197" s="350">
        <f t="shared" si="59"/>
        <v>-275.30827559055854</v>
      </c>
      <c r="AW197" s="350">
        <f t="shared" si="60"/>
        <v>-281.39172440944151</v>
      </c>
      <c r="AX197" s="351">
        <f t="shared" si="61"/>
        <v>-42.134585221301691</v>
      </c>
      <c r="AY197" s="351">
        <f t="shared" si="62"/>
        <v>-35.537647814579692</v>
      </c>
      <c r="AZ197" s="1043"/>
      <c r="BA197" s="241">
        <f t="shared" si="46"/>
        <v>42.134585221301691</v>
      </c>
      <c r="BB197" s="242">
        <f t="shared" si="47"/>
        <v>35.537647814579692</v>
      </c>
      <c r="BF197" s="260">
        <v>15</v>
      </c>
      <c r="BG197" s="261">
        <f t="shared" si="71"/>
        <v>129</v>
      </c>
      <c r="BH197" s="31">
        <f t="shared" si="72"/>
        <v>128.98035267517449</v>
      </c>
      <c r="BI197" s="263">
        <f t="shared" si="68"/>
        <v>-100.71502369542151</v>
      </c>
      <c r="BJ197" s="264">
        <f t="shared" si="69"/>
        <v>100.71502369542151</v>
      </c>
      <c r="BK197" s="264">
        <f t="shared" si="73"/>
        <v>14.728121911971868</v>
      </c>
      <c r="BL197" s="264" t="b">
        <f t="shared" si="70"/>
        <v>0</v>
      </c>
      <c r="BM197" s="266">
        <v>15</v>
      </c>
    </row>
    <row r="198" spans="2:134" ht="21" thickBot="1" x14ac:dyDescent="0.35">
      <c r="B198" s="244">
        <v>22</v>
      </c>
      <c r="C198" s="890"/>
      <c r="D198" s="16">
        <v>1</v>
      </c>
      <c r="E198" s="234" t="s">
        <v>215</v>
      </c>
      <c r="F198" s="235"/>
      <c r="G198" s="235">
        <f t="shared" si="48"/>
        <v>1</v>
      </c>
      <c r="H198" s="888">
        <v>251.073172</v>
      </c>
      <c r="I198" s="889">
        <v>65.636175100000003</v>
      </c>
      <c r="J198" s="374">
        <f t="shared" si="49"/>
        <v>64.636175100000003</v>
      </c>
      <c r="K198" s="374">
        <f t="shared" si="50"/>
        <v>32.318087550000001</v>
      </c>
      <c r="L198" s="374">
        <f t="shared" si="38"/>
        <v>0.53461916118589337</v>
      </c>
      <c r="M198" s="374">
        <f t="shared" si="39"/>
        <v>134.22852861092153</v>
      </c>
      <c r="N198" s="374">
        <f t="shared" si="40"/>
        <v>268.45705722184306</v>
      </c>
      <c r="O198" s="983">
        <f>+C177+D178+D179+D180+D181+D182+D183+D184+D185+D186+D187+D188+D189+D190+D191+D192+D193+D194+D195+D196+D197+(D198/2)</f>
        <v>20.5</v>
      </c>
      <c r="P198" s="374">
        <f t="shared" si="41"/>
        <v>0.35020738125946715</v>
      </c>
      <c r="Q198" s="374">
        <f t="shared" si="42"/>
        <v>94.015642990284576</v>
      </c>
      <c r="R198" s="374">
        <f t="shared" si="51"/>
        <v>1138.6278952884754</v>
      </c>
      <c r="S198" s="374">
        <f t="shared" si="63"/>
        <v>1232.6435382787599</v>
      </c>
      <c r="T198" s="375">
        <f t="shared" si="43"/>
        <v>1232.6435382787599</v>
      </c>
      <c r="V198" s="929">
        <f t="shared" si="44"/>
        <v>0</v>
      </c>
      <c r="AB198" s="248" t="str">
        <f t="shared" si="52"/>
        <v>use the locking pin</v>
      </c>
      <c r="AF198" s="966">
        <f>SUM(V198:V202)/($B$174-B197)</f>
        <v>0</v>
      </c>
      <c r="AG198" s="972">
        <f>SUM(D178:D198)+$C$177</f>
        <v>21</v>
      </c>
      <c r="AH198" s="353"/>
      <c r="AI198" s="944">
        <f t="shared" si="53"/>
        <v>54.499008599999996</v>
      </c>
      <c r="AJ198" s="575">
        <f t="shared" si="45"/>
        <v>0.81410547021842816</v>
      </c>
      <c r="AK198" s="944">
        <f t="shared" si="54"/>
        <v>236.61394871877258</v>
      </c>
      <c r="AL198" s="944">
        <f t="shared" si="55"/>
        <v>78.181912400000002</v>
      </c>
      <c r="AM198" s="968">
        <f t="shared" si="56"/>
        <v>0.97880278300112167</v>
      </c>
      <c r="AN198" s="944">
        <f t="shared" si="57"/>
        <v>245.7511194905193</v>
      </c>
      <c r="AO198" s="969"/>
      <c r="AP198" s="251">
        <f t="shared" si="64"/>
        <v>-586</v>
      </c>
      <c r="AQ198" s="347"/>
      <c r="AR198" s="347">
        <f t="shared" si="58"/>
        <v>482.36506820929185</v>
      </c>
      <c r="AS198" s="348">
        <f t="shared" si="66"/>
        <v>-245.7511194905193</v>
      </c>
      <c r="AU198" s="348">
        <f t="shared" si="65"/>
        <v>245.7511194905193</v>
      </c>
      <c r="AV198" s="350">
        <f t="shared" si="59"/>
        <v>-287.44986543892895</v>
      </c>
      <c r="AW198" s="350">
        <f t="shared" si="60"/>
        <v>-298.55013456107105</v>
      </c>
      <c r="AX198" s="351">
        <f t="shared" si="61"/>
        <v>-40.354863211666782</v>
      </c>
      <c r="AY198" s="351">
        <f t="shared" si="62"/>
        <v>-33.49521183335596</v>
      </c>
      <c r="AZ198" s="1043"/>
      <c r="BA198" s="241">
        <f t="shared" ref="BA198:BB202" si="74">ABS(AX198)</f>
        <v>40.354863211666782</v>
      </c>
      <c r="BB198" s="242">
        <f t="shared" si="74"/>
        <v>33.49521183335596</v>
      </c>
      <c r="BF198" s="260">
        <v>16</v>
      </c>
      <c r="BG198" s="261">
        <f t="shared" si="71"/>
        <v>172</v>
      </c>
      <c r="BH198" s="31">
        <f t="shared" si="72"/>
        <v>171.97380356689931</v>
      </c>
      <c r="BI198" s="263">
        <f t="shared" si="68"/>
        <v>-57.721572803696688</v>
      </c>
      <c r="BJ198" s="264">
        <f t="shared" si="69"/>
        <v>57.721572803696688</v>
      </c>
      <c r="BK198" s="264">
        <f t="shared" si="73"/>
        <v>14.728121911971868</v>
      </c>
      <c r="BL198" s="264" t="b">
        <f t="shared" si="70"/>
        <v>0</v>
      </c>
      <c r="BM198" s="266">
        <v>16</v>
      </c>
    </row>
    <row r="199" spans="2:134" ht="21" thickBot="1" x14ac:dyDescent="0.35">
      <c r="B199" s="244">
        <v>23</v>
      </c>
      <c r="C199" s="890"/>
      <c r="D199" s="16">
        <v>1</v>
      </c>
      <c r="E199" s="234" t="s">
        <v>215</v>
      </c>
      <c r="F199" s="235"/>
      <c r="G199" s="235">
        <f t="shared" si="48"/>
        <v>1</v>
      </c>
      <c r="H199" s="888">
        <v>251.073172</v>
      </c>
      <c r="I199" s="889">
        <v>65.636175100000003</v>
      </c>
      <c r="J199" s="374">
        <f t="shared" si="49"/>
        <v>64.636175100000003</v>
      </c>
      <c r="K199" s="374">
        <f t="shared" si="50"/>
        <v>32.318087550000001</v>
      </c>
      <c r="L199" s="374">
        <f t="shared" si="38"/>
        <v>0.53461916118589337</v>
      </c>
      <c r="M199" s="374">
        <f t="shared" si="39"/>
        <v>134.22852861092153</v>
      </c>
      <c r="N199" s="374">
        <f t="shared" si="40"/>
        <v>268.45705722184306</v>
      </c>
      <c r="O199" s="983">
        <f>+C177+D178+D179+D180+D181+D182+D183+D184+D185+D186+D187+D188+D189+D190+D191+D192+D193+D194+D195+D196+D197+D198+(D199/2)</f>
        <v>21.5</v>
      </c>
      <c r="P199" s="374">
        <f t="shared" si="41"/>
        <v>0.36650122672429686</v>
      </c>
      <c r="Q199" s="374">
        <f t="shared" si="42"/>
        <v>98.389840794600232</v>
      </c>
      <c r="R199" s="374">
        <f t="shared" si="51"/>
        <v>1232.6435382787599</v>
      </c>
      <c r="S199" s="374">
        <f t="shared" si="63"/>
        <v>1331.0333790733603</v>
      </c>
      <c r="T199" s="375">
        <f t="shared" si="43"/>
        <v>1331.0333790733603</v>
      </c>
      <c r="V199" s="929">
        <f t="shared" si="44"/>
        <v>0</v>
      </c>
      <c r="AB199" s="248" t="str">
        <f t="shared" si="52"/>
        <v>use the locking pin</v>
      </c>
      <c r="AF199" s="966">
        <f>SUM(V199:V202)/($B$174-B198)</f>
        <v>0</v>
      </c>
      <c r="AG199" s="972">
        <f>SUM(D178:D199)+$C$177</f>
        <v>22</v>
      </c>
      <c r="AH199" s="353"/>
      <c r="AI199" s="944">
        <f t="shared" si="53"/>
        <v>53.499008599999996</v>
      </c>
      <c r="AJ199" s="575">
        <f t="shared" si="45"/>
        <v>0.80384656816268329</v>
      </c>
      <c r="AK199" s="944">
        <f t="shared" si="54"/>
        <v>233.63227200275978</v>
      </c>
      <c r="AL199" s="944">
        <f t="shared" si="55"/>
        <v>79.181912400000002</v>
      </c>
      <c r="AM199" s="968">
        <f t="shared" si="56"/>
        <v>0.98222804771777472</v>
      </c>
      <c r="AN199" s="944">
        <f t="shared" si="57"/>
        <v>246.61111156786907</v>
      </c>
      <c r="AO199" s="969"/>
      <c r="AP199" s="251">
        <f t="shared" si="64"/>
        <v>-615.30000000000007</v>
      </c>
      <c r="AQ199" s="347"/>
      <c r="AR199" s="347">
        <f t="shared" si="58"/>
        <v>480.24338357062885</v>
      </c>
      <c r="AS199" s="348">
        <f t="shared" si="66"/>
        <v>-246.61111156786907</v>
      </c>
      <c r="AU199" s="348">
        <f t="shared" si="65"/>
        <v>246.61111156786907</v>
      </c>
      <c r="AV199" s="350">
        <f t="shared" si="59"/>
        <v>-299.33559082996999</v>
      </c>
      <c r="AW199" s="350">
        <f t="shared" si="60"/>
        <v>-315.96440917003008</v>
      </c>
      <c r="AX199" s="351">
        <f t="shared" si="61"/>
        <v>-38.752491702829573</v>
      </c>
      <c r="AY199" s="351">
        <f t="shared" si="62"/>
        <v>-31.649134237200414</v>
      </c>
      <c r="AZ199" s="1043"/>
      <c r="BA199" s="241">
        <f t="shared" si="74"/>
        <v>38.752491702829573</v>
      </c>
      <c r="BB199" s="242">
        <f t="shared" si="74"/>
        <v>31.649134237200414</v>
      </c>
      <c r="BF199" s="260">
        <v>17</v>
      </c>
      <c r="BG199" s="261">
        <f t="shared" si="71"/>
        <v>215</v>
      </c>
      <c r="BH199" s="31">
        <f t="shared" si="72"/>
        <v>214.96725445862413</v>
      </c>
      <c r="BI199" s="263">
        <f t="shared" si="68"/>
        <v>-14.728121911971868</v>
      </c>
      <c r="BJ199" s="264">
        <f t="shared" si="69"/>
        <v>14.728121911971868</v>
      </c>
      <c r="BK199" s="264">
        <f t="shared" si="73"/>
        <v>14.728121911971868</v>
      </c>
      <c r="BL199" s="264">
        <f t="shared" si="70"/>
        <v>17</v>
      </c>
      <c r="BM199" s="266">
        <v>17</v>
      </c>
    </row>
    <row r="200" spans="2:134" ht="21" thickBot="1" x14ac:dyDescent="0.35">
      <c r="B200" s="244">
        <v>24</v>
      </c>
      <c r="C200" s="891"/>
      <c r="D200" s="16">
        <v>1</v>
      </c>
      <c r="E200" s="234" t="s">
        <v>215</v>
      </c>
      <c r="F200" s="235"/>
      <c r="G200" s="235">
        <f t="shared" si="48"/>
        <v>1</v>
      </c>
      <c r="H200" s="888">
        <v>251.073172</v>
      </c>
      <c r="I200" s="889">
        <v>65.636175100000003</v>
      </c>
      <c r="J200" s="374">
        <f t="shared" si="49"/>
        <v>64.636175100000003</v>
      </c>
      <c r="K200" s="374">
        <f t="shared" si="50"/>
        <v>32.318087550000001</v>
      </c>
      <c r="L200" s="374">
        <f t="shared" si="38"/>
        <v>0.53461916118589337</v>
      </c>
      <c r="M200" s="374">
        <f t="shared" si="39"/>
        <v>134.22852861092153</v>
      </c>
      <c r="N200" s="374">
        <f t="shared" si="40"/>
        <v>268.45705722184306</v>
      </c>
      <c r="O200" s="983">
        <f>+C177+D178+D179+D180+D181+D182+D183+D184+D185+D186+D187+D188+D189+D190+D191+D192+D193+D194+D195+D196+D197+D198+D199+(D200/2)</f>
        <v>22.5</v>
      </c>
      <c r="P200" s="374">
        <f t="shared" si="41"/>
        <v>0.38268343236508939</v>
      </c>
      <c r="Q200" s="374">
        <f t="shared" si="42"/>
        <v>102.73406810028611</v>
      </c>
      <c r="R200" s="374">
        <f t="shared" si="51"/>
        <v>1331.0333790733603</v>
      </c>
      <c r="S200" s="374">
        <f t="shared" si="63"/>
        <v>1433.7674471736464</v>
      </c>
      <c r="T200" s="375">
        <f t="shared" si="43"/>
        <v>1433.7674471736464</v>
      </c>
      <c r="V200" s="929">
        <f t="shared" si="44"/>
        <v>0</v>
      </c>
      <c r="AB200" s="248" t="str">
        <f t="shared" si="52"/>
        <v>use the locking pin</v>
      </c>
      <c r="AF200" s="966">
        <f>SUM(V200:V202)/($B$174-B199)</f>
        <v>0</v>
      </c>
      <c r="AG200" s="972">
        <f>SUM(D178:D200)+$C$177</f>
        <v>23</v>
      </c>
      <c r="AH200" s="353"/>
      <c r="AI200" s="944">
        <f t="shared" si="53"/>
        <v>52.499008599999996</v>
      </c>
      <c r="AJ200" s="575">
        <f t="shared" si="45"/>
        <v>0.79334280665523971</v>
      </c>
      <c r="AK200" s="944">
        <f t="shared" si="54"/>
        <v>230.57942863344837</v>
      </c>
      <c r="AL200" s="944">
        <f t="shared" si="55"/>
        <v>80.181912400000002</v>
      </c>
      <c r="AM200" s="968">
        <f t="shared" si="56"/>
        <v>0.98535411625603619</v>
      </c>
      <c r="AN200" s="944">
        <f t="shared" si="57"/>
        <v>247.39598351165978</v>
      </c>
      <c r="AO200" s="969"/>
      <c r="AP200" s="251">
        <f t="shared" si="64"/>
        <v>-644.6</v>
      </c>
      <c r="AQ200" s="347"/>
      <c r="AR200" s="347">
        <f t="shared" si="58"/>
        <v>477.97541214510818</v>
      </c>
      <c r="AS200" s="348">
        <f t="shared" si="66"/>
        <v>-247.39598351165978</v>
      </c>
      <c r="AU200" s="348">
        <f t="shared" si="65"/>
        <v>247.39598351165978</v>
      </c>
      <c r="AV200" s="350">
        <f t="shared" si="59"/>
        <v>-310.96055554422105</v>
      </c>
      <c r="AW200" s="350">
        <f t="shared" si="60"/>
        <v>-333.63944445577897</v>
      </c>
      <c r="AX200" s="351">
        <f t="shared" si="61"/>
        <v>-37.303766645575045</v>
      </c>
      <c r="AY200" s="351">
        <f t="shared" si="62"/>
        <v>-29.972475275852503</v>
      </c>
      <c r="AZ200" s="1043"/>
      <c r="BA200" s="241">
        <f t="shared" si="74"/>
        <v>37.303766645575045</v>
      </c>
      <c r="BB200" s="242">
        <f t="shared" si="74"/>
        <v>29.972475275852503</v>
      </c>
      <c r="BF200" s="260">
        <v>18</v>
      </c>
      <c r="BG200" s="261">
        <f t="shared" si="71"/>
        <v>258</v>
      </c>
      <c r="BH200" s="31">
        <f t="shared" si="72"/>
        <v>257.96070535034897</v>
      </c>
      <c r="BI200" s="263">
        <f t="shared" si="68"/>
        <v>28.265328979752979</v>
      </c>
      <c r="BJ200" s="264">
        <f t="shared" si="69"/>
        <v>28.265328979752979</v>
      </c>
      <c r="BK200" s="264">
        <f t="shared" si="73"/>
        <v>14.728121911971868</v>
      </c>
      <c r="BL200" s="264" t="b">
        <f t="shared" si="70"/>
        <v>0</v>
      </c>
      <c r="BM200" s="266">
        <v>18</v>
      </c>
    </row>
    <row r="201" spans="2:134" ht="21" thickBot="1" x14ac:dyDescent="0.35">
      <c r="B201" s="244">
        <v>25</v>
      </c>
      <c r="C201" s="892"/>
      <c r="D201" s="16">
        <v>1</v>
      </c>
      <c r="E201" s="234" t="s">
        <v>215</v>
      </c>
      <c r="F201" s="235"/>
      <c r="G201" s="235">
        <f t="shared" si="48"/>
        <v>1</v>
      </c>
      <c r="H201" s="888">
        <v>251.073172</v>
      </c>
      <c r="I201" s="889">
        <v>65.636175100000003</v>
      </c>
      <c r="J201" s="374">
        <f t="shared" si="49"/>
        <v>64.636175100000003</v>
      </c>
      <c r="K201" s="374">
        <f t="shared" si="50"/>
        <v>32.318087550000001</v>
      </c>
      <c r="L201" s="374">
        <f t="shared" si="38"/>
        <v>0.53461916118589337</v>
      </c>
      <c r="M201" s="374">
        <f t="shared" si="39"/>
        <v>134.22852861092153</v>
      </c>
      <c r="N201" s="374">
        <f t="shared" si="40"/>
        <v>268.45705722184306</v>
      </c>
      <c r="O201" s="983">
        <f>+C177+D178+D179+D180+D181+D182+D183+D184+D185+D186+D187+D188+D189+D190+D191+D192+D193+D194+D195+D196+D197+D198+D199+D200+(D201/2)</f>
        <v>23.5</v>
      </c>
      <c r="P201" s="374">
        <f t="shared" si="41"/>
        <v>0.39874906892524581</v>
      </c>
      <c r="Q201" s="374">
        <f t="shared" si="42"/>
        <v>107.04700161362136</v>
      </c>
      <c r="R201" s="374">
        <f t="shared" si="51"/>
        <v>1433.7674471736464</v>
      </c>
      <c r="S201" s="374">
        <f t="shared" si="63"/>
        <v>1540.8144487872678</v>
      </c>
      <c r="T201" s="375">
        <f t="shared" si="43"/>
        <v>1540.8144487872678</v>
      </c>
      <c r="V201" s="929">
        <f t="shared" si="44"/>
        <v>0</v>
      </c>
      <c r="AB201" s="248" t="str">
        <f t="shared" si="52"/>
        <v>use the locking pin</v>
      </c>
      <c r="AF201" s="966">
        <f>SUM(V201:V202)/($B$174-B200)</f>
        <v>0</v>
      </c>
      <c r="AG201" s="972">
        <f>SUM(D178:D201)+$C$177</f>
        <v>24</v>
      </c>
      <c r="AH201" s="353"/>
      <c r="AI201" s="944">
        <f t="shared" si="53"/>
        <v>51.499008599999996</v>
      </c>
      <c r="AJ201" s="575">
        <f t="shared" si="45"/>
        <v>0.78259738524360445</v>
      </c>
      <c r="AK201" s="944">
        <f t="shared" si="54"/>
        <v>227.45634853650211</v>
      </c>
      <c r="AL201" s="944">
        <f t="shared" si="55"/>
        <v>81.181912400000002</v>
      </c>
      <c r="AM201" s="968">
        <f t="shared" si="56"/>
        <v>0.9881800363851464</v>
      </c>
      <c r="AN201" s="944">
        <f t="shared" si="57"/>
        <v>248.10549624229412</v>
      </c>
      <c r="AO201" s="969"/>
      <c r="AP201" s="251">
        <f t="shared" si="64"/>
        <v>-673.9</v>
      </c>
      <c r="AQ201" s="347"/>
      <c r="AR201" s="347">
        <f t="shared" si="58"/>
        <v>475.56184477879623</v>
      </c>
      <c r="AS201" s="348">
        <f t="shared" si="66"/>
        <v>-248.10549624229412</v>
      </c>
      <c r="AU201" s="348">
        <f t="shared" si="65"/>
        <v>248.10549624229412</v>
      </c>
      <c r="AV201" s="350">
        <f t="shared" si="59"/>
        <v>-322.3194521630453</v>
      </c>
      <c r="AW201" s="350">
        <f t="shared" si="60"/>
        <v>-351.58054783695474</v>
      </c>
      <c r="AX201" s="351">
        <f t="shared" si="61"/>
        <v>-35.989140345560465</v>
      </c>
      <c r="AY201" s="351">
        <f t="shared" si="62"/>
        <v>-28.44298429342426</v>
      </c>
      <c r="AZ201" s="1043"/>
      <c r="BA201" s="241">
        <f t="shared" si="74"/>
        <v>35.989140345560465</v>
      </c>
      <c r="BB201" s="242">
        <f t="shared" si="74"/>
        <v>28.44298429342426</v>
      </c>
      <c r="BF201" s="260">
        <v>19</v>
      </c>
      <c r="BG201" s="261">
        <f t="shared" si="71"/>
        <v>301</v>
      </c>
      <c r="BH201" s="31">
        <f t="shared" si="72"/>
        <v>300.95415624207379</v>
      </c>
      <c r="BI201" s="263">
        <f t="shared" si="68"/>
        <v>71.258779871477799</v>
      </c>
      <c r="BJ201" s="264">
        <f t="shared" si="69"/>
        <v>71.258779871477799</v>
      </c>
      <c r="BK201" s="264">
        <f t="shared" si="73"/>
        <v>14.728121911971868</v>
      </c>
      <c r="BL201" s="264" t="b">
        <f t="shared" si="70"/>
        <v>0</v>
      </c>
      <c r="BM201" s="266">
        <v>19</v>
      </c>
    </row>
    <row r="202" spans="2:134" ht="21" thickBot="1" x14ac:dyDescent="0.35">
      <c r="B202" s="244">
        <v>26</v>
      </c>
      <c r="C202" s="892"/>
      <c r="D202" s="16">
        <v>1</v>
      </c>
      <c r="E202" s="234" t="s">
        <v>215</v>
      </c>
      <c r="F202" s="235"/>
      <c r="G202" s="235">
        <f t="shared" si="48"/>
        <v>1</v>
      </c>
      <c r="H202" s="888">
        <v>251.073172</v>
      </c>
      <c r="I202" s="889">
        <v>65.636175100000003</v>
      </c>
      <c r="J202" s="374">
        <f t="shared" si="49"/>
        <v>64.636175100000003</v>
      </c>
      <c r="K202" s="374">
        <f t="shared" si="50"/>
        <v>32.318087550000001</v>
      </c>
      <c r="L202" s="374">
        <f t="shared" si="38"/>
        <v>0.53461916118589337</v>
      </c>
      <c r="M202" s="374">
        <f t="shared" si="39"/>
        <v>134.22852861092153</v>
      </c>
      <c r="N202" s="374">
        <f t="shared" si="40"/>
        <v>268.45705722184306</v>
      </c>
      <c r="O202" s="983">
        <f>+C177+D178+D179+D180+D181+D182+D183+D184+D185+D186+D187+D188+D189+D190+D191+D192+D193+D194+D195+D196+D197+D198+D199+D200+D201+(D202/2)</f>
        <v>24.5</v>
      </c>
      <c r="P202" s="374">
        <f t="shared" si="41"/>
        <v>0.41469324265623864</v>
      </c>
      <c r="Q202" s="374">
        <f t="shared" si="42"/>
        <v>111.3273275732775</v>
      </c>
      <c r="R202" s="374">
        <f t="shared" si="51"/>
        <v>1540.8144487872678</v>
      </c>
      <c r="S202" s="374">
        <f t="shared" si="63"/>
        <v>1652.1417763605452</v>
      </c>
      <c r="T202" s="375">
        <f t="shared" si="43"/>
        <v>1652.1417763605452</v>
      </c>
      <c r="V202" s="929">
        <f t="shared" si="44"/>
        <v>0</v>
      </c>
      <c r="AB202" s="248" t="str">
        <f t="shared" si="52"/>
        <v>use the locking pin</v>
      </c>
      <c r="AF202" s="966">
        <f>SUM(V202)/($B$174-B201)</f>
        <v>0</v>
      </c>
      <c r="AG202" s="972">
        <f>SUM(D178:D202)+$C$177</f>
        <v>25</v>
      </c>
      <c r="AH202" s="353"/>
      <c r="AI202" s="944">
        <f t="shared" si="53"/>
        <v>50.499008599999996</v>
      </c>
      <c r="AJ202" s="575">
        <f t="shared" si="45"/>
        <v>0.77161357708723288</v>
      </c>
      <c r="AK202" s="944">
        <f t="shared" si="54"/>
        <v>224.26398303237247</v>
      </c>
      <c r="AL202" s="944">
        <f t="shared" si="55"/>
        <v>82.181912400000002</v>
      </c>
      <c r="AM202" s="968">
        <f t="shared" si="56"/>
        <v>0.99070494730245873</v>
      </c>
      <c r="AN202" s="944">
        <f t="shared" si="57"/>
        <v>248.73943363532115</v>
      </c>
      <c r="AO202" s="969"/>
      <c r="AP202" s="251">
        <f t="shared" si="64"/>
        <v>-703.2</v>
      </c>
      <c r="AQ202" s="347"/>
      <c r="AR202" s="347">
        <f t="shared" si="58"/>
        <v>473.00341666769361</v>
      </c>
      <c r="AS202" s="348">
        <f t="shared" si="66"/>
        <v>-248.73943363532115</v>
      </c>
      <c r="AU202" s="348">
        <f t="shared" si="65"/>
        <v>248.73943363532115</v>
      </c>
      <c r="AV202" s="350">
        <f t="shared" si="59"/>
        <v>-333.40654065329392</v>
      </c>
      <c r="AW202" s="350">
        <f t="shared" si="60"/>
        <v>-369.79345934670607</v>
      </c>
      <c r="AX202" s="351">
        <f t="shared" si="61"/>
        <v>-34.792358833963974</v>
      </c>
      <c r="AY202" s="351">
        <f t="shared" si="62"/>
        <v>-27.042122426033316</v>
      </c>
      <c r="AZ202" s="1043"/>
      <c r="BA202" s="241">
        <f t="shared" si="74"/>
        <v>34.792358833963974</v>
      </c>
      <c r="BB202" s="242">
        <f t="shared" si="74"/>
        <v>27.042122426033316</v>
      </c>
      <c r="BF202" s="260">
        <v>20</v>
      </c>
      <c r="BG202" s="261">
        <f t="shared" si="71"/>
        <v>344</v>
      </c>
      <c r="BH202" s="31">
        <f t="shared" si="72"/>
        <v>343.94760713379861</v>
      </c>
      <c r="BI202" s="263">
        <f t="shared" si="68"/>
        <v>114.25223076320262</v>
      </c>
      <c r="BJ202" s="264">
        <f t="shared" si="69"/>
        <v>114.25223076320262</v>
      </c>
      <c r="BK202" s="264">
        <f t="shared" si="73"/>
        <v>14.728121911971868</v>
      </c>
      <c r="BL202" s="264" t="b">
        <f t="shared" si="70"/>
        <v>0</v>
      </c>
      <c r="BM202" s="266">
        <v>20</v>
      </c>
    </row>
    <row r="203" spans="2:134" ht="20" x14ac:dyDescent="0.3">
      <c r="BF203" s="260">
        <v>21</v>
      </c>
      <c r="BG203" s="261">
        <f t="shared" si="71"/>
        <v>387</v>
      </c>
      <c r="BH203" s="31">
        <f t="shared" si="72"/>
        <v>386.94105802552343</v>
      </c>
      <c r="BI203" s="263">
        <f t="shared" si="68"/>
        <v>157.24568165492744</v>
      </c>
      <c r="BJ203" s="264">
        <f t="shared" si="69"/>
        <v>157.24568165492744</v>
      </c>
      <c r="BK203" s="264">
        <f t="shared" si="73"/>
        <v>14.728121911971868</v>
      </c>
      <c r="BL203" s="264" t="b">
        <f t="shared" si="70"/>
        <v>0</v>
      </c>
      <c r="BM203" s="266">
        <v>21</v>
      </c>
    </row>
    <row r="204" spans="2:134" ht="20" x14ac:dyDescent="0.3">
      <c r="BF204" s="260">
        <v>22</v>
      </c>
      <c r="BG204" s="261">
        <f t="shared" si="71"/>
        <v>430</v>
      </c>
      <c r="BH204" s="31">
        <f t="shared" si="72"/>
        <v>429.93450891724825</v>
      </c>
      <c r="BI204" s="263">
        <f t="shared" si="68"/>
        <v>200.23913254665226</v>
      </c>
      <c r="BJ204" s="264">
        <f t="shared" si="69"/>
        <v>200.23913254665226</v>
      </c>
      <c r="BK204" s="264">
        <f t="shared" si="73"/>
        <v>14.728121911971868</v>
      </c>
      <c r="BL204" s="264" t="b">
        <f t="shared" si="70"/>
        <v>0</v>
      </c>
      <c r="BM204" s="266">
        <v>22</v>
      </c>
    </row>
    <row r="205" spans="2:134" ht="20" x14ac:dyDescent="0.3">
      <c r="BF205" s="260">
        <v>23</v>
      </c>
      <c r="BG205" s="261">
        <f t="shared" si="71"/>
        <v>473</v>
      </c>
      <c r="BH205" s="31">
        <f t="shared" si="72"/>
        <v>472.92795980897307</v>
      </c>
      <c r="BI205" s="263">
        <f t="shared" si="68"/>
        <v>243.23258343837708</v>
      </c>
      <c r="BJ205" s="264">
        <f t="shared" si="69"/>
        <v>243.23258343837708</v>
      </c>
      <c r="BK205" s="264">
        <f t="shared" si="73"/>
        <v>14.728121911971868</v>
      </c>
      <c r="BL205" s="264" t="b">
        <f t="shared" si="70"/>
        <v>0</v>
      </c>
      <c r="BM205" s="266">
        <v>23</v>
      </c>
    </row>
    <row r="206" spans="2:134" ht="20" x14ac:dyDescent="0.3">
      <c r="BF206" s="260">
        <v>24</v>
      </c>
      <c r="BG206" s="261">
        <f t="shared" si="71"/>
        <v>516</v>
      </c>
      <c r="BH206" s="31">
        <f t="shared" si="72"/>
        <v>515.92141070069795</v>
      </c>
      <c r="BI206" s="263">
        <f t="shared" si="68"/>
        <v>286.22603433010192</v>
      </c>
      <c r="BJ206" s="264">
        <f t="shared" si="69"/>
        <v>286.22603433010192</v>
      </c>
      <c r="BK206" s="264">
        <f t="shared" si="73"/>
        <v>14.728121911971868</v>
      </c>
      <c r="BL206" s="264" t="b">
        <f t="shared" si="70"/>
        <v>0</v>
      </c>
      <c r="BM206" s="266">
        <v>24</v>
      </c>
    </row>
    <row r="207" spans="2:134" ht="20" x14ac:dyDescent="0.3">
      <c r="BF207" s="260">
        <v>25</v>
      </c>
      <c r="BG207" s="261">
        <f t="shared" si="71"/>
        <v>559</v>
      </c>
      <c r="BH207" s="31">
        <f t="shared" si="72"/>
        <v>558.91486159242277</v>
      </c>
      <c r="BI207" s="263">
        <f t="shared" si="68"/>
        <v>329.21948522182674</v>
      </c>
      <c r="BJ207" s="264">
        <f t="shared" si="69"/>
        <v>329.21948522182674</v>
      </c>
      <c r="BK207" s="264">
        <f t="shared" si="73"/>
        <v>14.728121911971868</v>
      </c>
      <c r="BL207" s="264" t="b">
        <f t="shared" si="70"/>
        <v>0</v>
      </c>
      <c r="BM207" s="266">
        <v>25</v>
      </c>
    </row>
    <row r="208" spans="2:134" ht="20" x14ac:dyDescent="0.3">
      <c r="BF208" s="260">
        <v>26</v>
      </c>
      <c r="BG208" s="261">
        <f t="shared" si="71"/>
        <v>602</v>
      </c>
      <c r="BH208" s="31">
        <f t="shared" si="72"/>
        <v>601.90831248414759</v>
      </c>
      <c r="BI208" s="263">
        <f t="shared" si="68"/>
        <v>372.21293611355156</v>
      </c>
      <c r="BJ208" s="264">
        <f t="shared" si="69"/>
        <v>372.21293611355156</v>
      </c>
      <c r="BK208" s="264">
        <f t="shared" si="73"/>
        <v>14.728121911971868</v>
      </c>
      <c r="BL208" s="264" t="b">
        <f t="shared" si="70"/>
        <v>0</v>
      </c>
      <c r="BM208" s="266">
        <v>26</v>
      </c>
    </row>
    <row r="209" spans="58:65" ht="20" x14ac:dyDescent="0.3">
      <c r="BF209" s="260">
        <v>27</v>
      </c>
      <c r="BG209" s="261">
        <f t="shared" si="71"/>
        <v>645</v>
      </c>
      <c r="BH209" s="31">
        <f t="shared" si="72"/>
        <v>644.90176337587241</v>
      </c>
      <c r="BI209" s="263">
        <f t="shared" si="68"/>
        <v>415.20638700527638</v>
      </c>
      <c r="BJ209" s="264">
        <f t="shared" si="69"/>
        <v>415.20638700527638</v>
      </c>
      <c r="BK209" s="264">
        <f t="shared" si="73"/>
        <v>14.728121911971868</v>
      </c>
      <c r="BL209" s="264" t="b">
        <f t="shared" si="70"/>
        <v>0</v>
      </c>
      <c r="BM209" s="266">
        <v>27</v>
      </c>
    </row>
    <row r="210" spans="58:65" ht="20" x14ac:dyDescent="0.3">
      <c r="BF210" s="260">
        <v>28</v>
      </c>
      <c r="BG210" s="261">
        <f t="shared" si="71"/>
        <v>688</v>
      </c>
      <c r="BH210" s="31">
        <f t="shared" si="72"/>
        <v>687.89521426759723</v>
      </c>
      <c r="BI210" s="263">
        <f t="shared" si="68"/>
        <v>458.1998378970012</v>
      </c>
      <c r="BJ210" s="264">
        <f t="shared" si="69"/>
        <v>458.1998378970012</v>
      </c>
      <c r="BK210" s="264">
        <f t="shared" si="73"/>
        <v>14.728121911971868</v>
      </c>
      <c r="BL210" s="264" t="b">
        <f t="shared" si="70"/>
        <v>0</v>
      </c>
      <c r="BM210" s="266">
        <v>28</v>
      </c>
    </row>
    <row r="211" spans="58:65" ht="20" x14ac:dyDescent="0.3">
      <c r="BF211" s="260">
        <v>29</v>
      </c>
      <c r="BG211" s="261">
        <f t="shared" si="71"/>
        <v>731</v>
      </c>
      <c r="BH211" s="31">
        <f t="shared" si="72"/>
        <v>730.88866515932204</v>
      </c>
      <c r="BI211" s="263">
        <f t="shared" si="68"/>
        <v>501.19328878872602</v>
      </c>
      <c r="BJ211" s="264">
        <f t="shared" si="69"/>
        <v>501.19328878872602</v>
      </c>
      <c r="BK211" s="264">
        <f t="shared" si="73"/>
        <v>14.728121911971868</v>
      </c>
      <c r="BL211" s="264" t="b">
        <f t="shared" si="70"/>
        <v>0</v>
      </c>
      <c r="BM211" s="266">
        <v>29</v>
      </c>
    </row>
    <row r="212" spans="58:65" ht="20" x14ac:dyDescent="0.3">
      <c r="BF212" s="260">
        <v>30</v>
      </c>
      <c r="BG212" s="261">
        <f t="shared" si="71"/>
        <v>774</v>
      </c>
      <c r="BH212" s="31">
        <f t="shared" si="72"/>
        <v>773.88211605104686</v>
      </c>
      <c r="BI212" s="263">
        <f t="shared" si="68"/>
        <v>544.18673968045084</v>
      </c>
      <c r="BJ212" s="264">
        <f t="shared" si="69"/>
        <v>544.18673968045084</v>
      </c>
      <c r="BK212" s="264">
        <f t="shared" si="73"/>
        <v>14.728121911971868</v>
      </c>
      <c r="BL212" s="264" t="b">
        <f t="shared" si="70"/>
        <v>0</v>
      </c>
      <c r="BM212" s="266">
        <v>30</v>
      </c>
    </row>
    <row r="213" spans="58:65" ht="20" x14ac:dyDescent="0.3">
      <c r="BF213" s="260">
        <v>31</v>
      </c>
      <c r="BG213" s="261">
        <f t="shared" si="71"/>
        <v>817</v>
      </c>
      <c r="BH213" s="31">
        <f t="shared" si="72"/>
        <v>816.87556694277168</v>
      </c>
      <c r="BI213" s="263">
        <f t="shared" si="68"/>
        <v>587.18019057217566</v>
      </c>
      <c r="BJ213" s="264">
        <f t="shared" si="69"/>
        <v>587.18019057217566</v>
      </c>
      <c r="BK213" s="264">
        <f t="shared" si="73"/>
        <v>14.728121911971868</v>
      </c>
      <c r="BL213" s="264" t="b">
        <f t="shared" si="70"/>
        <v>0</v>
      </c>
      <c r="BM213" s="266">
        <v>31</v>
      </c>
    </row>
    <row r="214" spans="58:65" ht="20" x14ac:dyDescent="0.3">
      <c r="BF214" s="260">
        <v>32</v>
      </c>
      <c r="BG214" s="261">
        <f t="shared" si="71"/>
        <v>860</v>
      </c>
      <c r="BH214" s="31">
        <f t="shared" si="72"/>
        <v>859.8690178344965</v>
      </c>
      <c r="BI214" s="263">
        <f t="shared" si="68"/>
        <v>630.17364146390048</v>
      </c>
      <c r="BJ214" s="264">
        <f t="shared" si="69"/>
        <v>630.17364146390048</v>
      </c>
      <c r="BK214" s="264">
        <f t="shared" si="73"/>
        <v>14.728121911971868</v>
      </c>
      <c r="BL214" s="264" t="b">
        <f t="shared" si="70"/>
        <v>0</v>
      </c>
      <c r="BM214" s="266">
        <v>32</v>
      </c>
    </row>
    <row r="215" spans="58:65" ht="20" x14ac:dyDescent="0.3">
      <c r="BF215" s="260">
        <v>33</v>
      </c>
      <c r="BG215" s="261">
        <f t="shared" si="71"/>
        <v>903</v>
      </c>
      <c r="BH215" s="31">
        <f t="shared" si="72"/>
        <v>902.86246872622132</v>
      </c>
      <c r="BI215" s="263">
        <f t="shared" si="68"/>
        <v>673.1670923556253</v>
      </c>
      <c r="BJ215" s="264">
        <f t="shared" si="69"/>
        <v>673.1670923556253</v>
      </c>
      <c r="BK215" s="264">
        <f t="shared" si="73"/>
        <v>14.728121911971868</v>
      </c>
      <c r="BL215" s="264" t="b">
        <f t="shared" si="70"/>
        <v>0</v>
      </c>
      <c r="BM215" s="266">
        <v>33</v>
      </c>
    </row>
    <row r="216" spans="58:65" ht="20" x14ac:dyDescent="0.3">
      <c r="BF216" s="260">
        <v>34</v>
      </c>
      <c r="BG216" s="261">
        <f t="shared" si="71"/>
        <v>946</v>
      </c>
      <c r="BH216" s="31">
        <f t="shared" si="72"/>
        <v>945.85591961794614</v>
      </c>
      <c r="BI216" s="263">
        <f t="shared" si="68"/>
        <v>716.16054324735012</v>
      </c>
      <c r="BJ216" s="264">
        <f t="shared" si="69"/>
        <v>716.16054324735012</v>
      </c>
      <c r="BK216" s="264">
        <f t="shared" si="73"/>
        <v>14.728121911971868</v>
      </c>
      <c r="BL216" s="264" t="b">
        <f t="shared" si="70"/>
        <v>0</v>
      </c>
      <c r="BM216" s="266">
        <v>34</v>
      </c>
    </row>
    <row r="217" spans="58:65" ht="20" x14ac:dyDescent="0.3">
      <c r="BF217" s="260">
        <v>35</v>
      </c>
      <c r="BG217" s="261">
        <f t="shared" si="71"/>
        <v>989</v>
      </c>
      <c r="BH217" s="31">
        <f t="shared" si="72"/>
        <v>988.84937050967096</v>
      </c>
      <c r="BI217" s="263">
        <f t="shared" si="68"/>
        <v>759.15399413907494</v>
      </c>
      <c r="BJ217" s="264">
        <f t="shared" si="69"/>
        <v>759.15399413907494</v>
      </c>
      <c r="BK217" s="264">
        <f t="shared" si="73"/>
        <v>14.728121911971868</v>
      </c>
      <c r="BL217" s="264" t="b">
        <f t="shared" si="70"/>
        <v>0</v>
      </c>
      <c r="BM217" s="266">
        <v>35</v>
      </c>
    </row>
    <row r="218" spans="58:65" ht="20" x14ac:dyDescent="0.3">
      <c r="BF218" s="260">
        <v>36</v>
      </c>
      <c r="BG218" s="261">
        <f t="shared" si="71"/>
        <v>1032</v>
      </c>
      <c r="BH218" s="31">
        <f t="shared" si="72"/>
        <v>1031.8428214013959</v>
      </c>
      <c r="BI218" s="263">
        <f t="shared" si="68"/>
        <v>802.14744503079987</v>
      </c>
      <c r="BJ218" s="264">
        <f t="shared" si="69"/>
        <v>802.14744503079987</v>
      </c>
      <c r="BK218" s="264">
        <f t="shared" si="73"/>
        <v>14.728121911971868</v>
      </c>
      <c r="BL218" s="264" t="b">
        <f t="shared" si="70"/>
        <v>0</v>
      </c>
      <c r="BM218" s="266">
        <v>36</v>
      </c>
    </row>
    <row r="219" spans="58:65" ht="20" x14ac:dyDescent="0.3">
      <c r="BF219" s="270">
        <v>37</v>
      </c>
      <c r="BG219" s="271">
        <f t="shared" si="71"/>
        <v>1075</v>
      </c>
      <c r="BH219" s="31">
        <f t="shared" si="72"/>
        <v>1074.8362722931208</v>
      </c>
      <c r="BI219" s="263">
        <f t="shared" si="68"/>
        <v>845.14089592252481</v>
      </c>
      <c r="BJ219" s="264">
        <f t="shared" si="69"/>
        <v>845.14089592252481</v>
      </c>
      <c r="BK219" s="264">
        <f t="shared" si="73"/>
        <v>14.728121911971868</v>
      </c>
      <c r="BL219" s="264" t="b">
        <f t="shared" si="70"/>
        <v>0</v>
      </c>
      <c r="BM219" s="272">
        <v>37</v>
      </c>
    </row>
    <row r="220" spans="58:65" x14ac:dyDescent="0.2">
      <c r="BG220" s="294"/>
    </row>
    <row r="221" spans="58:65" x14ac:dyDescent="0.2">
      <c r="BG221" s="294"/>
    </row>
    <row r="222" spans="58:65" x14ac:dyDescent="0.2">
      <c r="BG222" s="294"/>
    </row>
    <row r="223" spans="58:65" x14ac:dyDescent="0.2">
      <c r="BG223" s="294"/>
    </row>
    <row r="224" spans="58:65" x14ac:dyDescent="0.2">
      <c r="BG224" s="294"/>
    </row>
    <row r="225" spans="59:59" x14ac:dyDescent="0.2">
      <c r="BG225" s="294"/>
    </row>
  </sheetData>
  <sheetProtection algorithmName="SHA-512" hashValue="tqxO9VkoxZC8Jy7J+vDMlReE/TBrJIeQAl5cpSPEViWmyFBdcp53MutJdhqtynRQc124pTebhth5hq/efvq5Bg==" saltValue="cf/hbueBuWmL2zAetv96IQ==" spinCount="100000" sheet="1" objects="1" scenarios="1" selectLockedCells="1"/>
  <protectedRanges>
    <protectedRange sqref="B147 B150 D153:D164 B174 D177:D202" name="Range1"/>
  </protectedRanges>
  <mergeCells count="23">
    <mergeCell ref="BW160:BX160"/>
    <mergeCell ref="B145:B146"/>
    <mergeCell ref="W150:AA150"/>
    <mergeCell ref="BA150:BB150"/>
    <mergeCell ref="BA174:BB174"/>
    <mergeCell ref="BW158:BY158"/>
    <mergeCell ref="DG82:DH82"/>
    <mergeCell ref="CI160:CJ160"/>
    <mergeCell ref="DL165:DN165"/>
    <mergeCell ref="DL170:DM170"/>
    <mergeCell ref="DX170:DY170"/>
    <mergeCell ref="B129:E129"/>
    <mergeCell ref="BR25:BS25"/>
    <mergeCell ref="CR26:DB27"/>
    <mergeCell ref="BR27:BS27"/>
    <mergeCell ref="CP27:CQ27"/>
    <mergeCell ref="BR29:CB30"/>
    <mergeCell ref="CC30:CD30"/>
    <mergeCell ref="DA30:DB30"/>
    <mergeCell ref="BR32:CB33"/>
    <mergeCell ref="CT32:DB33"/>
    <mergeCell ref="CC33:CD33"/>
    <mergeCell ref="CR33:CS33"/>
  </mergeCells>
  <conditionalFormatting sqref="B153:B164">
    <cfRule type="cellIs" dxfId="452" priority="132" stopIfTrue="1" operator="greaterThan">
      <formula>$B$150</formula>
    </cfRule>
  </conditionalFormatting>
  <conditionalFormatting sqref="B178:BB178">
    <cfRule type="expression" dxfId="451" priority="25">
      <formula>$B$174&lt;2</formula>
    </cfRule>
  </conditionalFormatting>
  <conditionalFormatting sqref="B179:BB179">
    <cfRule type="expression" dxfId="450" priority="24">
      <formula>$B$174&lt;3</formula>
    </cfRule>
  </conditionalFormatting>
  <conditionalFormatting sqref="B180:BB180">
    <cfRule type="expression" dxfId="449" priority="23">
      <formula>$B$174&lt;4</formula>
    </cfRule>
  </conditionalFormatting>
  <conditionalFormatting sqref="B181:BB181">
    <cfRule type="expression" dxfId="448" priority="22">
      <formula>$B$174&lt;5</formula>
    </cfRule>
  </conditionalFormatting>
  <conditionalFormatting sqref="B182:BB182">
    <cfRule type="expression" dxfId="447" priority="21">
      <formula>$B$174&lt;6</formula>
    </cfRule>
  </conditionalFormatting>
  <conditionalFormatting sqref="B183:BB183">
    <cfRule type="expression" dxfId="446" priority="20">
      <formula>$B$174&lt;7</formula>
    </cfRule>
  </conditionalFormatting>
  <conditionalFormatting sqref="B184:BB184">
    <cfRule type="expression" dxfId="445" priority="19">
      <formula>$B$174&lt;8</formula>
    </cfRule>
  </conditionalFormatting>
  <conditionalFormatting sqref="B185:BB185">
    <cfRule type="expression" dxfId="444" priority="18">
      <formula>$B$174&lt;9</formula>
    </cfRule>
  </conditionalFormatting>
  <conditionalFormatting sqref="B186:BB186">
    <cfRule type="expression" dxfId="443" priority="17">
      <formula>$B$174&lt;10</formula>
    </cfRule>
  </conditionalFormatting>
  <conditionalFormatting sqref="B187:BB187">
    <cfRule type="expression" dxfId="442" priority="16">
      <formula>$B$174&lt;11</formula>
    </cfRule>
  </conditionalFormatting>
  <conditionalFormatting sqref="B188:BB188">
    <cfRule type="expression" dxfId="441" priority="15">
      <formula>$B$174&lt;12</formula>
    </cfRule>
  </conditionalFormatting>
  <conditionalFormatting sqref="B189:BB189">
    <cfRule type="expression" dxfId="440" priority="14">
      <formula>$B$174&lt;13</formula>
    </cfRule>
  </conditionalFormatting>
  <conditionalFormatting sqref="B190:BB190">
    <cfRule type="expression" dxfId="439" priority="13">
      <formula>$B$174&lt;14</formula>
    </cfRule>
  </conditionalFormatting>
  <conditionalFormatting sqref="B191:BB191">
    <cfRule type="expression" dxfId="438" priority="12">
      <formula>$B$174&lt;15</formula>
    </cfRule>
  </conditionalFormatting>
  <conditionalFormatting sqref="B192:BB192">
    <cfRule type="expression" dxfId="437" priority="11">
      <formula>$B$174&lt;16</formula>
    </cfRule>
  </conditionalFormatting>
  <conditionalFormatting sqref="B193:BB193">
    <cfRule type="expression" dxfId="436" priority="10">
      <formula>$B$174&lt;17</formula>
    </cfRule>
  </conditionalFormatting>
  <conditionalFormatting sqref="B194:BB194">
    <cfRule type="expression" dxfId="435" priority="9">
      <formula>$B$174&lt;18</formula>
    </cfRule>
  </conditionalFormatting>
  <conditionalFormatting sqref="B195:BB195">
    <cfRule type="expression" dxfId="434" priority="8">
      <formula>$B$174&lt;19</formula>
    </cfRule>
  </conditionalFormatting>
  <conditionalFormatting sqref="B196:BB196">
    <cfRule type="expression" dxfId="433" priority="7">
      <formula>$B$174&lt;20</formula>
    </cfRule>
  </conditionalFormatting>
  <conditionalFormatting sqref="B197:BB197">
    <cfRule type="expression" dxfId="432" priority="6">
      <formula>$B$174&lt;21</formula>
    </cfRule>
  </conditionalFormatting>
  <conditionalFormatting sqref="B198:BB198">
    <cfRule type="expression" dxfId="431" priority="5">
      <formula>$B$174&lt;22</formula>
    </cfRule>
  </conditionalFormatting>
  <conditionalFormatting sqref="B199:BB199">
    <cfRule type="expression" dxfId="430" priority="4">
      <formula>$B$174&lt;23</formula>
    </cfRule>
  </conditionalFormatting>
  <conditionalFormatting sqref="B200:BB200">
    <cfRule type="expression" dxfId="429" priority="3">
      <formula>$B$174&lt;24</formula>
    </cfRule>
  </conditionalFormatting>
  <conditionalFormatting sqref="B201:BB201">
    <cfRule type="expression" dxfId="428" priority="2">
      <formula>$B$174&lt;25</formula>
    </cfRule>
  </conditionalFormatting>
  <conditionalFormatting sqref="B202:BB202">
    <cfRule type="expression" dxfId="427" priority="1">
      <formula>$B$174&lt;26</formula>
    </cfRule>
  </conditionalFormatting>
  <conditionalFormatting sqref="C137">
    <cfRule type="cellIs" dxfId="426" priority="62" stopIfTrue="1" operator="between">
      <formula>"OVERLOAD"</formula>
      <formula>"OVERLOAD"</formula>
    </cfRule>
  </conditionalFormatting>
  <conditionalFormatting sqref="D146">
    <cfRule type="cellIs" dxfId="425" priority="61" stopIfTrue="1" operator="equal">
      <formula>"USE EXBAR AR AT THE FRONT"</formula>
    </cfRule>
  </conditionalFormatting>
  <conditionalFormatting sqref="D147">
    <cfRule type="cellIs" dxfId="424" priority="60" stopIfTrue="1" operator="equal">
      <formula>"USE EXBAR AR AT THE BACK"</formula>
    </cfRule>
  </conditionalFormatting>
  <conditionalFormatting sqref="D153:D164">
    <cfRule type="cellIs" dxfId="423" priority="133" stopIfTrue="1" operator="notEqual">
      <formula>0</formula>
    </cfRule>
  </conditionalFormatting>
  <conditionalFormatting sqref="D177:D202">
    <cfRule type="cellIs" dxfId="422" priority="27" operator="notEqual">
      <formula>0</formula>
    </cfRule>
  </conditionalFormatting>
  <conditionalFormatting sqref="D144:G145">
    <cfRule type="cellIs" dxfId="421" priority="134" stopIfTrue="1" operator="equal">
      <formula>"change the angle of frame or of cabinets"</formula>
    </cfRule>
  </conditionalFormatting>
  <conditionalFormatting sqref="D153:G153">
    <cfRule type="expression" dxfId="420" priority="84" stopIfTrue="1">
      <formula>$B$150&lt;1</formula>
    </cfRule>
  </conditionalFormatting>
  <conditionalFormatting sqref="D154:G154">
    <cfRule type="expression" dxfId="419" priority="83" stopIfTrue="1">
      <formula>$B$150&lt;2</formula>
    </cfRule>
  </conditionalFormatting>
  <conditionalFormatting sqref="D155:G155">
    <cfRule type="expression" dxfId="418" priority="82" stopIfTrue="1">
      <formula>$B$150&lt;3</formula>
    </cfRule>
  </conditionalFormatting>
  <conditionalFormatting sqref="D156:G156">
    <cfRule type="expression" dxfId="417" priority="81" stopIfTrue="1">
      <formula>$B$150&lt;4</formula>
    </cfRule>
  </conditionalFormatting>
  <conditionalFormatting sqref="D157:G157">
    <cfRule type="expression" dxfId="416" priority="80" stopIfTrue="1">
      <formula>$B$150&lt;5</formula>
    </cfRule>
  </conditionalFormatting>
  <conditionalFormatting sqref="D158:G158">
    <cfRule type="expression" dxfId="415" priority="79" stopIfTrue="1">
      <formula>$B$150&lt;6</formula>
    </cfRule>
  </conditionalFormatting>
  <conditionalFormatting sqref="D159:G159">
    <cfRule type="expression" dxfId="414" priority="78" stopIfTrue="1">
      <formula>$B$150&lt;7</formula>
    </cfRule>
  </conditionalFormatting>
  <conditionalFormatting sqref="D160:G160">
    <cfRule type="expression" dxfId="413" priority="77" stopIfTrue="1">
      <formula>$B$150&lt;8</formula>
    </cfRule>
  </conditionalFormatting>
  <conditionalFormatting sqref="D161:G161">
    <cfRule type="expression" dxfId="412" priority="76" stopIfTrue="1">
      <formula>$B$150&lt;9</formula>
    </cfRule>
  </conditionalFormatting>
  <conditionalFormatting sqref="D162:G162">
    <cfRule type="expression" dxfId="411" priority="75" stopIfTrue="1">
      <formula>$B$150&lt;10</formula>
    </cfRule>
  </conditionalFormatting>
  <conditionalFormatting sqref="D163:G163">
    <cfRule type="expression" dxfId="410" priority="74" stopIfTrue="1">
      <formula>$B$150&lt;11</formula>
    </cfRule>
  </conditionalFormatting>
  <conditionalFormatting sqref="D164:G164 J164:AB164 AX164:BB164">
    <cfRule type="expression" dxfId="409" priority="72" stopIfTrue="1">
      <formula>$B$150&lt;12</formula>
    </cfRule>
  </conditionalFormatting>
  <conditionalFormatting sqref="E147 E146:G146">
    <cfRule type="cellIs" dxfId="408" priority="136" stopIfTrue="1" operator="equal">
      <formula>"USE EXBAR VR AT THE FRONT"</formula>
    </cfRule>
  </conditionalFormatting>
  <conditionalFormatting sqref="E147:G147">
    <cfRule type="cellIs" dxfId="407" priority="135" stopIfTrue="1" operator="equal">
      <formula>"USE EXBAR VR AT THE BACK"</formula>
    </cfRule>
  </conditionalFormatting>
  <conditionalFormatting sqref="J154:AB154 AX154:BB154">
    <cfRule type="expression" dxfId="406" priority="129" stopIfTrue="1">
      <formula>$B$150&lt;2</formula>
    </cfRule>
  </conditionalFormatting>
  <conditionalFormatting sqref="J155:AB155 AX155:BB155">
    <cfRule type="expression" dxfId="405" priority="128" stopIfTrue="1">
      <formula>$B$150&lt;3</formula>
    </cfRule>
  </conditionalFormatting>
  <conditionalFormatting sqref="J156:AB156 AX156:BB156">
    <cfRule type="expression" dxfId="404" priority="127" stopIfTrue="1">
      <formula>$B$150&lt;4</formula>
    </cfRule>
  </conditionalFormatting>
  <conditionalFormatting sqref="J157:AB157 AX157:BB157">
    <cfRule type="expression" dxfId="403" priority="126" stopIfTrue="1">
      <formula>$B$150&lt;5</formula>
    </cfRule>
  </conditionalFormatting>
  <conditionalFormatting sqref="J158:AB158 AX158:BB158">
    <cfRule type="expression" dxfId="402" priority="125" stopIfTrue="1">
      <formula>$B$150&lt;6</formula>
    </cfRule>
  </conditionalFormatting>
  <conditionalFormatting sqref="J159:AB159 AX159:BB159">
    <cfRule type="expression" dxfId="401" priority="124" stopIfTrue="1">
      <formula>$B$150&lt;7</formula>
    </cfRule>
  </conditionalFormatting>
  <conditionalFormatting sqref="J160:AB160 AX160:BB160">
    <cfRule type="expression" dxfId="400" priority="123" stopIfTrue="1">
      <formula>$B$150&lt;8</formula>
    </cfRule>
  </conditionalFormatting>
  <conditionalFormatting sqref="J161:AB161 AX161:BB161">
    <cfRule type="expression" dxfId="399" priority="122" stopIfTrue="1">
      <formula>$B$150&lt;9</formula>
    </cfRule>
  </conditionalFormatting>
  <conditionalFormatting sqref="J162:AB162 AX162:BB162">
    <cfRule type="expression" dxfId="398" priority="98" stopIfTrue="1">
      <formula>$B$150&lt;10</formula>
    </cfRule>
  </conditionalFormatting>
  <conditionalFormatting sqref="J163:AB163 AX163:BB163">
    <cfRule type="expression" dxfId="397" priority="85" stopIfTrue="1">
      <formula>$B$150&lt;11</formula>
    </cfRule>
  </conditionalFormatting>
  <conditionalFormatting sqref="K153:O153 T153:V153 X153 AB153">
    <cfRule type="expression" dxfId="396" priority="131" stopIfTrue="1">
      <formula>$B$150&lt;1</formula>
    </cfRule>
  </conditionalFormatting>
  <conditionalFormatting sqref="U26 AB26:AE26 U29:U31 AB29:AE31 U103:U137 AB103:AE137">
    <cfRule type="cellIs" dxfId="395" priority="138" stopIfTrue="1" operator="between">
      <formula>"OVERLOAD"</formula>
      <formula>"OVERLOAD"</formula>
    </cfRule>
  </conditionalFormatting>
  <conditionalFormatting sqref="W153">
    <cfRule type="expression" dxfId="394" priority="43" stopIfTrue="1">
      <formula>$B$177&lt;1</formula>
    </cfRule>
  </conditionalFormatting>
  <conditionalFormatting sqref="Y153">
    <cfRule type="expression" dxfId="393" priority="42" stopIfTrue="1">
      <formula>$B$177&lt;1</formula>
    </cfRule>
  </conditionalFormatting>
  <conditionalFormatting sqref="Z153:AA153">
    <cfRule type="expression" dxfId="392" priority="71" stopIfTrue="1">
      <formula>$B$153&lt;1</formula>
    </cfRule>
  </conditionalFormatting>
  <conditionalFormatting sqref="AC154:AC164">
    <cfRule type="expression" dxfId="391" priority="67" stopIfTrue="1">
      <formula>$B$153&lt;1</formula>
    </cfRule>
  </conditionalFormatting>
  <conditionalFormatting sqref="AC153:AD153">
    <cfRule type="expression" dxfId="390" priority="70" stopIfTrue="1">
      <formula>$B$153&lt;1</formula>
    </cfRule>
  </conditionalFormatting>
  <conditionalFormatting sqref="AD153:AE164">
    <cfRule type="expression" dxfId="389" priority="63" stopIfTrue="1">
      <formula>$B$153&lt;1</formula>
    </cfRule>
  </conditionalFormatting>
  <conditionalFormatting sqref="BA153:BB164">
    <cfRule type="cellIs" dxfId="388" priority="130" stopIfTrue="1" operator="lessThan">
      <formula>10</formula>
    </cfRule>
  </conditionalFormatting>
  <conditionalFormatting sqref="BA177:BB202">
    <cfRule type="cellIs" dxfId="387" priority="26" operator="lessThan">
      <formula>10</formula>
    </cfRule>
  </conditionalFormatting>
  <conditionalFormatting sqref="BL183:BL219">
    <cfRule type="cellIs" dxfId="386" priority="51" stopIfTrue="1" operator="equal">
      <formula>FALSE</formula>
    </cfRule>
  </conditionalFormatting>
  <conditionalFormatting sqref="BO26">
    <cfRule type="cellIs" dxfId="385" priority="39" stopIfTrue="1" operator="equal">
      <formula>"negative force at the motor"</formula>
    </cfRule>
  </conditionalFormatting>
  <conditionalFormatting sqref="BO26:BO27">
    <cfRule type="cellIs" dxfId="384" priority="38" operator="equal">
      <formula>"""OK"""</formula>
    </cfRule>
  </conditionalFormatting>
  <conditionalFormatting sqref="BO27">
    <cfRule type="cellIs" dxfId="383" priority="47" stopIfTrue="1" operator="equal">
      <formula>"overload"</formula>
    </cfRule>
  </conditionalFormatting>
  <conditionalFormatting sqref="BO29">
    <cfRule type="cellIs" dxfId="382" priority="37" stopIfTrue="1" operator="equal">
      <formula>"negative force at the motor"</formula>
    </cfRule>
  </conditionalFormatting>
  <conditionalFormatting sqref="BO29:BO30">
    <cfRule type="cellIs" dxfId="381" priority="36" operator="equal">
      <formula>"""OK"""</formula>
    </cfRule>
  </conditionalFormatting>
  <conditionalFormatting sqref="BO32">
    <cfRule type="cellIs" dxfId="380" priority="35" stopIfTrue="1" operator="equal">
      <formula>"negative force at the motor"</formula>
    </cfRule>
  </conditionalFormatting>
  <conditionalFormatting sqref="BO32:BO33">
    <cfRule type="cellIs" dxfId="379" priority="34" operator="equal">
      <formula>"""OK"""</formula>
    </cfRule>
  </conditionalFormatting>
  <conditionalFormatting sqref="BO56 BO61 BO101 BO30 BO33">
    <cfRule type="cellIs" dxfId="378" priority="45" stopIfTrue="1" operator="equal">
      <formula>"overload"</formula>
    </cfRule>
  </conditionalFormatting>
  <conditionalFormatting sqref="BO56 BO101 BO61">
    <cfRule type="cellIs" dxfId="377" priority="44" operator="equal">
      <formula>"""OK"""</formula>
    </cfRule>
  </conditionalFormatting>
  <conditionalFormatting sqref="BP55:BP56 BO56 BP100 BO101:BP101">
    <cfRule type="expression" dxfId="376" priority="31">
      <formula>$B$147&lt;&gt;0</formula>
    </cfRule>
  </conditionalFormatting>
  <conditionalFormatting sqref="BR100:CH100">
    <cfRule type="expression" dxfId="375" priority="30">
      <formula>$B$147=0</formula>
    </cfRule>
  </conditionalFormatting>
  <conditionalFormatting sqref="BR57:DC59 BW104:CJ111 BR184:CO185">
    <cfRule type="cellIs" dxfId="374" priority="54" stopIfTrue="1" operator="equal">
      <formula>FALSE</formula>
    </cfRule>
  </conditionalFormatting>
  <conditionalFormatting sqref="CC55:CS55 BR100:CH100 CL100:DB100">
    <cfRule type="expression" dxfId="373" priority="32">
      <formula>$B$147=0</formula>
    </cfRule>
  </conditionalFormatting>
  <conditionalFormatting sqref="CC55:CS55">
    <cfRule type="expression" dxfId="372" priority="55">
      <formula>$B$147=0</formula>
    </cfRule>
    <cfRule type="cellIs" dxfId="371" priority="33" operator="equal">
      <formula>0</formula>
    </cfRule>
  </conditionalFormatting>
  <conditionalFormatting sqref="CL100:DB100">
    <cfRule type="expression" dxfId="370" priority="29">
      <formula>$B$147=0</formula>
    </cfRule>
  </conditionalFormatting>
  <conditionalFormatting sqref="DG189:ED189">
    <cfRule type="cellIs" dxfId="369" priority="59" stopIfTrue="1" operator="equal">
      <formula>0</formula>
    </cfRule>
  </conditionalFormatting>
  <conditionalFormatting sqref="DL119:DY122 DG191:ED192">
    <cfRule type="cellIs" dxfId="368" priority="137" stopIfTrue="1" operator="equal">
      <formula>FALSE</formula>
    </cfRule>
  </conditionalFormatting>
  <dataValidations count="8">
    <dataValidation type="decimal" allowBlank="1" showInputMessage="1" showErrorMessage="1" sqref="B147" xr:uid="{00000000-0002-0000-0300-000000000000}">
      <formula1>-89.9</formula1>
      <formula2>89.9</formula2>
    </dataValidation>
    <dataValidation type="custom" allowBlank="1" showInputMessage="1" showErrorMessage="1" sqref="D153:D164" xr:uid="{00000000-0002-0000-0300-000001000000}">
      <formula1>OR(D153=0,D153=2.5,D153=5)</formula1>
    </dataValidation>
    <dataValidation type="whole" allowBlank="1" showInputMessage="1" showErrorMessage="1" sqref="D177" xr:uid="{00000000-0002-0000-0300-000002000000}">
      <formula1>-2</formula1>
      <formula2>4</formula2>
    </dataValidation>
    <dataValidation type="whole" allowBlank="1" showInputMessage="1" showErrorMessage="1" errorTitle="Coda Audio" error="YOU HAVE ENTERED A WRONG NUMBER OF CABINETS" promptTitle="Coda Audio" prompt="ENTER THE NUMBER OF CABINETS FROM 1 UP TO 26" sqref="B174" xr:uid="{00000000-0002-0000-0300-000003000000}">
      <formula1>1</formula1>
      <formula2>26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50" xr:uid="{00000000-0002-0000-0300-000004000000}">
      <formula1>1</formula1>
      <formula2>10</formula2>
    </dataValidation>
    <dataValidation type="decimal" allowBlank="1" showInputMessage="1" showErrorMessage="1" sqref="G154:G164 G178:G202 F155:F164 F179:F202" xr:uid="{00000000-0002-0000-0300-000005000000}">
      <formula1>0</formula1>
      <formula2>8</formula2>
    </dataValidation>
    <dataValidation type="decimal" allowBlank="1" showInputMessage="1" showErrorMessage="1" sqref="F153:G153 F177:G177" xr:uid="{00000000-0002-0000-0300-000006000000}">
      <formula1>0</formula1>
      <formula2>4</formula2>
    </dataValidation>
    <dataValidation type="custom" allowBlank="1" showInputMessage="1" showErrorMessage="1" sqref="D178:D202" xr:uid="{00000000-0002-0000-0300-000007000000}">
      <formula1>OR(D178=0.5,D178=1,D178=2,D178=2.5,D178=3,D178=4,D178=5,D178=6,D178=7,D178=8,D178=9,D178=10)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C000"/>
  </sheetPr>
  <dimension ref="A1:EN291"/>
  <sheetViews>
    <sheetView topLeftCell="A53" zoomScale="50" zoomScaleNormal="50" workbookViewId="0">
      <selection activeCell="D139" sqref="D139"/>
    </sheetView>
  </sheetViews>
  <sheetFormatPr baseColWidth="10" defaultColWidth="9.1640625" defaultRowHeight="18" x14ac:dyDescent="0.2"/>
  <cols>
    <col min="1" max="1" width="1.5" customWidth="1"/>
    <col min="2" max="2" width="32.5" style="24" customWidth="1"/>
    <col min="3" max="3" width="21.6640625" style="24" hidden="1" customWidth="1"/>
    <col min="4" max="4" width="32.83203125" customWidth="1"/>
    <col min="5" max="5" width="45.83203125" customWidth="1"/>
    <col min="6" max="7" width="19.1640625" hidden="1" customWidth="1"/>
    <col min="8" max="9" width="25.5" style="48" hidden="1" customWidth="1"/>
    <col min="10" max="20" width="18.33203125" style="48" hidden="1" customWidth="1"/>
    <col min="21" max="21" width="34.5" style="48" hidden="1" customWidth="1"/>
    <col min="22" max="27" width="15.6640625" style="48" hidden="1" customWidth="1"/>
    <col min="28" max="28" width="38.83203125" style="48" customWidth="1"/>
    <col min="29" max="35" width="15.6640625" style="48" hidden="1" customWidth="1"/>
    <col min="36" max="43" width="19.83203125" style="48" hidden="1" customWidth="1"/>
    <col min="44" max="44" width="25.5" style="48" hidden="1" customWidth="1"/>
    <col min="45" max="46" width="15.6640625" style="48" hidden="1" customWidth="1"/>
    <col min="47" max="47" width="21.5" style="48" hidden="1" customWidth="1"/>
    <col min="48" max="52" width="15.6640625" style="48" hidden="1" customWidth="1"/>
    <col min="53" max="54" width="18.1640625" style="48" customWidth="1"/>
    <col min="55" max="55" width="24.83203125" hidden="1" customWidth="1"/>
    <col min="56" max="56" width="22.5" hidden="1" customWidth="1"/>
    <col min="57" max="62" width="34.5" hidden="1" customWidth="1"/>
    <col min="63" max="63" width="9.33203125" hidden="1" customWidth="1"/>
    <col min="64" max="64" width="10.83203125" hidden="1" customWidth="1"/>
    <col min="65" max="65" width="22.5" style="65" hidden="1" customWidth="1"/>
    <col min="66" max="66" width="24.83203125" bestFit="1" customWidth="1"/>
    <col min="67" max="67" width="34" style="43" customWidth="1"/>
    <col min="68" max="68" width="43.6640625" customWidth="1"/>
    <col min="69" max="79" width="6.5" customWidth="1"/>
    <col min="80" max="80" width="8" customWidth="1"/>
    <col min="81" max="93" width="6.5" customWidth="1"/>
    <col min="94" max="94" width="7.1640625" customWidth="1"/>
    <col min="95" max="105" width="6.5" customWidth="1"/>
    <col min="106" max="106" width="7.6640625" hidden="1" customWidth="1"/>
    <col min="107" max="107" width="16" hidden="1" customWidth="1"/>
    <col min="108" max="108" width="41" hidden="1" customWidth="1"/>
    <col min="109" max="110" width="41.5" hidden="1" customWidth="1"/>
    <col min="111" max="140" width="6.5" customWidth="1"/>
    <col min="144" max="144" width="11.5" customWidth="1"/>
    <col min="145" max="145" width="9.33203125" customWidth="1"/>
  </cols>
  <sheetData>
    <row r="1" spans="2:15" ht="20" hidden="1" x14ac:dyDescent="0.2">
      <c r="D1" s="381" t="s">
        <v>93</v>
      </c>
      <c r="E1" s="381" t="s">
        <v>94</v>
      </c>
      <c r="F1" s="381" t="s">
        <v>95</v>
      </c>
      <c r="G1" s="789" t="s">
        <v>165</v>
      </c>
      <c r="H1" s="820">
        <v>18000</v>
      </c>
      <c r="I1" s="791"/>
      <c r="J1" s="791"/>
      <c r="K1" s="791"/>
      <c r="L1" s="791"/>
      <c r="M1" s="791"/>
      <c r="N1" s="791"/>
      <c r="O1" s="792"/>
    </row>
    <row r="2" spans="2:15" ht="20" hidden="1" x14ac:dyDescent="0.2">
      <c r="B2" s="295" t="s">
        <v>24</v>
      </c>
      <c r="C2" s="28">
        <v>688</v>
      </c>
      <c r="D2" s="29">
        <f>+COS(($B$132*-1)*3.14159265358979/180)*C2</f>
        <v>688</v>
      </c>
      <c r="E2" s="30">
        <f>+COS(($B$132*-1)*3.14159265358979/180)*43</f>
        <v>43</v>
      </c>
      <c r="F2" s="31">
        <f>+COS((($B$132*-1)+72.969997)*3.14159265358979/180)*162.1867</f>
        <v>47.500013702602963</v>
      </c>
      <c r="G2" s="793" t="s">
        <v>157</v>
      </c>
      <c r="H2" s="821">
        <v>77</v>
      </c>
      <c r="I2"/>
      <c r="J2"/>
      <c r="K2"/>
      <c r="L2"/>
      <c r="M2"/>
      <c r="N2"/>
      <c r="O2" s="794"/>
    </row>
    <row r="3" spans="2:15" ht="21" hidden="1" thickBot="1" x14ac:dyDescent="0.25">
      <c r="B3" s="27" t="s">
        <v>102</v>
      </c>
      <c r="C3" s="32">
        <f>+C9-47.5</f>
        <v>227.68309196129502</v>
      </c>
      <c r="D3" s="29">
        <f>+C9-F2</f>
        <v>227.68307825869206</v>
      </c>
      <c r="G3" s="793" t="s">
        <v>158</v>
      </c>
      <c r="H3" s="822">
        <v>215</v>
      </c>
      <c r="I3" s="165"/>
      <c r="J3"/>
      <c r="K3"/>
      <c r="L3"/>
      <c r="M3"/>
      <c r="N3"/>
      <c r="O3" s="794"/>
    </row>
    <row r="4" spans="2:15" ht="58" hidden="1" thickBot="1" x14ac:dyDescent="0.25">
      <c r="B4" s="33" t="s">
        <v>103</v>
      </c>
      <c r="C4" s="34">
        <v>1075</v>
      </c>
      <c r="D4" s="29">
        <f>+COS(($B$132*-1)*3.14159265358979/180)*C4</f>
        <v>1075</v>
      </c>
      <c r="G4" s="795" t="s">
        <v>178</v>
      </c>
      <c r="H4" s="823">
        <v>860</v>
      </c>
      <c r="I4" s="783">
        <v>1</v>
      </c>
      <c r="J4" s="1047" t="s">
        <v>173</v>
      </c>
      <c r="K4" s="1054"/>
      <c r="L4" s="1054"/>
      <c r="M4" s="1054"/>
      <c r="N4"/>
      <c r="O4" s="794"/>
    </row>
    <row r="5" spans="2:15" ht="38" hidden="1" x14ac:dyDescent="0.2">
      <c r="B5" s="33" t="s">
        <v>104</v>
      </c>
      <c r="C5" s="34">
        <f>+C9+425.5</f>
        <v>700.68309196129508</v>
      </c>
      <c r="D5" s="29">
        <f>+(COS(($B$132*-1)*3.14159265358979/180)*473)+$D$3</f>
        <v>700.68307825869203</v>
      </c>
      <c r="G5" s="795" t="s">
        <v>159</v>
      </c>
      <c r="H5" s="823">
        <v>688</v>
      </c>
      <c r="I5"/>
      <c r="J5" s="761" t="s">
        <v>162</v>
      </c>
      <c r="K5" s="761" t="s">
        <v>170</v>
      </c>
      <c r="L5" s="771" t="s">
        <v>169</v>
      </c>
      <c r="M5" s="924"/>
      <c r="N5"/>
      <c r="O5" s="794"/>
    </row>
    <row r="6" spans="2:15" ht="21" hidden="1" thickBot="1" x14ac:dyDescent="0.25">
      <c r="B6" s="170"/>
      <c r="C6" s="170"/>
      <c r="G6" s="795" t="s">
        <v>204</v>
      </c>
      <c r="H6" s="823">
        <v>602</v>
      </c>
      <c r="I6"/>
      <c r="J6" s="763">
        <f>+H9/H8*BQ55</f>
        <v>271.43025752165988</v>
      </c>
      <c r="K6" s="763">
        <f>((H8-H9)/H8)*BQ55</f>
        <v>-186.60830204614118</v>
      </c>
      <c r="L6" s="763">
        <f>+CO55</f>
        <v>158.77804452448126</v>
      </c>
      <c r="M6" s="761" t="s">
        <v>168</v>
      </c>
      <c r="N6"/>
      <c r="O6" s="794"/>
    </row>
    <row r="7" spans="2:15" ht="127" hidden="1" thickBot="1" x14ac:dyDescent="0.25">
      <c r="B7" s="296" t="s">
        <v>16</v>
      </c>
      <c r="C7" s="297">
        <f>+C11+C16+30+4.5+0.5</f>
        <v>243.6</v>
      </c>
      <c r="D7" s="887" t="s">
        <v>223</v>
      </c>
      <c r="G7" s="796" t="s">
        <v>175</v>
      </c>
      <c r="H7" s="824">
        <f>(+SIN(($B$132*-1)*3.14159265358979/180)*H2)</f>
        <v>0</v>
      </c>
      <c r="I7"/>
      <c r="J7" s="764">
        <f>ABS($H$1/J6)</f>
        <v>66.315377527737922</v>
      </c>
      <c r="K7" s="764">
        <f>ABS($H$1/K6)</f>
        <v>96.458730949436969</v>
      </c>
      <c r="L7" s="764">
        <f>ABS($H$1/L6)</f>
        <v>113.36579974836926</v>
      </c>
      <c r="M7" s="766" t="s">
        <v>167</v>
      </c>
      <c r="N7"/>
      <c r="O7" s="794"/>
    </row>
    <row r="8" spans="2:15" ht="20" hidden="1" x14ac:dyDescent="0.2">
      <c r="B8" s="296" t="s">
        <v>17</v>
      </c>
      <c r="C8" s="296">
        <f>+AS139</f>
        <v>493.41445131692666</v>
      </c>
      <c r="G8" s="796" t="s">
        <v>174</v>
      </c>
      <c r="H8" s="824">
        <f>(+COS(($B$132*-1)*3.14159265358979/180)*H3)</f>
        <v>215</v>
      </c>
      <c r="I8"/>
      <c r="J8" s="1045">
        <f>ABS($E$20/BQ55)</f>
        <v>94.315203595005045</v>
      </c>
      <c r="K8" s="1045"/>
      <c r="L8" s="1045">
        <f>ABS($E$20/CO55)</f>
        <v>50.38479988816411</v>
      </c>
      <c r="M8" s="1044" t="s">
        <v>308</v>
      </c>
      <c r="N8"/>
      <c r="O8" s="794"/>
    </row>
    <row r="9" spans="2:15" ht="21" hidden="1" thickBot="1" x14ac:dyDescent="0.25">
      <c r="B9" s="296" t="s">
        <v>14</v>
      </c>
      <c r="C9" s="296">
        <f>+AP135</f>
        <v>275.18309196129502</v>
      </c>
      <c r="G9" s="793" t="s">
        <v>172</v>
      </c>
      <c r="H9" s="824">
        <f>+D2+H7</f>
        <v>688</v>
      </c>
      <c r="I9"/>
      <c r="J9" s="43"/>
      <c r="K9" s="43"/>
      <c r="L9" s="43"/>
      <c r="M9" s="43"/>
      <c r="N9"/>
      <c r="O9" s="794"/>
    </row>
    <row r="10" spans="2:15" ht="21" hidden="1" thickBot="1" x14ac:dyDescent="0.25">
      <c r="B10" s="1026" t="s">
        <v>56</v>
      </c>
      <c r="C10" s="1027">
        <v>57</v>
      </c>
      <c r="D10" s="956" t="s">
        <v>231</v>
      </c>
      <c r="G10" s="797"/>
      <c r="H10"/>
      <c r="I10" s="783">
        <v>2</v>
      </c>
      <c r="J10" s="1047" t="s">
        <v>180</v>
      </c>
      <c r="K10" s="1047"/>
      <c r="L10" s="1049"/>
      <c r="M10" s="1049"/>
      <c r="N10"/>
      <c r="O10" s="794"/>
    </row>
    <row r="11" spans="2:15" ht="20" hidden="1" x14ac:dyDescent="0.2">
      <c r="B11" s="1026" t="s">
        <v>252</v>
      </c>
      <c r="C11" s="1027">
        <f>+B175*C10+31</f>
        <v>88</v>
      </c>
      <c r="G11" s="793" t="s">
        <v>171</v>
      </c>
      <c r="H11" s="824">
        <f>+D2-H7</f>
        <v>688</v>
      </c>
      <c r="I11"/>
      <c r="J11" s="771" t="s">
        <v>163</v>
      </c>
      <c r="K11" s="761" t="s">
        <v>160</v>
      </c>
      <c r="L11" s="761" t="s">
        <v>161</v>
      </c>
      <c r="M11" s="924"/>
      <c r="N11"/>
      <c r="O11" s="794"/>
    </row>
    <row r="12" spans="2:15" ht="20" hidden="1" x14ac:dyDescent="0.2">
      <c r="B12" s="1028" t="s">
        <v>57</v>
      </c>
      <c r="C12" s="1029">
        <v>747</v>
      </c>
      <c r="D12" s="300"/>
      <c r="G12" s="797"/>
      <c r="H12" s="26"/>
      <c r="I12"/>
      <c r="J12" s="763">
        <f>(CB58)</f>
        <v>192.0059554755187</v>
      </c>
      <c r="K12" s="763">
        <f>((+H8-H11)/H8*CZ58)</f>
        <v>-113.50689795385884</v>
      </c>
      <c r="L12" s="763">
        <f>(H11/H8*CZ58)</f>
        <v>165.10094247834013</v>
      </c>
      <c r="M12" s="761" t="s">
        <v>168</v>
      </c>
      <c r="N12"/>
      <c r="O12" s="794"/>
    </row>
    <row r="13" spans="2:15" ht="21" hidden="1" thickBot="1" x14ac:dyDescent="0.25">
      <c r="B13" s="1030"/>
      <c r="C13" s="1031"/>
      <c r="G13" s="797"/>
      <c r="H13"/>
      <c r="I13"/>
      <c r="J13" s="764">
        <f>ABS($H$1/J12)</f>
        <v>93.747092143165588</v>
      </c>
      <c r="K13" s="764">
        <f>ABS($H$1/K12)</f>
        <v>158.58067064185911</v>
      </c>
      <c r="L13" s="764">
        <f>ABS($H$1/L12)</f>
        <v>109.02421106627814</v>
      </c>
      <c r="M13" s="766" t="s">
        <v>167</v>
      </c>
      <c r="N13"/>
      <c r="O13" s="794"/>
    </row>
    <row r="14" spans="2:15" ht="21" hidden="1" thickBot="1" x14ac:dyDescent="0.25">
      <c r="B14" s="955" t="s">
        <v>232</v>
      </c>
      <c r="C14" s="975">
        <v>29.3</v>
      </c>
      <c r="D14" s="956" t="s">
        <v>222</v>
      </c>
      <c r="G14" s="797"/>
      <c r="H14"/>
      <c r="I14"/>
      <c r="J14" s="1045">
        <f>ABS($E$20/CB58)</f>
        <v>41.665374285851371</v>
      </c>
      <c r="K14" s="1045"/>
      <c r="L14" s="1045">
        <f>ABS($E$20/CZ58)</f>
        <v>155.0566557387067</v>
      </c>
      <c r="M14" s="1044" t="s">
        <v>308</v>
      </c>
      <c r="N14"/>
      <c r="O14" s="794"/>
    </row>
    <row r="15" spans="2:15" ht="19" hidden="1" thickBot="1" x14ac:dyDescent="0.25">
      <c r="B15" s="991" t="s">
        <v>234</v>
      </c>
      <c r="C15" s="990">
        <v>492.4</v>
      </c>
      <c r="D15" s="300"/>
      <c r="G15" s="797"/>
      <c r="H15"/>
      <c r="I15"/>
      <c r="J15" s="43"/>
      <c r="K15" s="43"/>
      <c r="L15" s="43"/>
      <c r="M15" s="43"/>
      <c r="N15"/>
      <c r="O15" s="794"/>
    </row>
    <row r="16" spans="2:15" ht="21" hidden="1" thickBot="1" x14ac:dyDescent="0.25">
      <c r="B16" s="991" t="s">
        <v>295</v>
      </c>
      <c r="C16" s="989">
        <f>(+B199*C14)+31+(B136*C14)+31</f>
        <v>120.6</v>
      </c>
      <c r="G16" s="793" t="s">
        <v>176</v>
      </c>
      <c r="H16" s="824">
        <f>+D2+H7-BL138</f>
        <v>-12.683078258692035</v>
      </c>
      <c r="I16" s="783" t="s">
        <v>196</v>
      </c>
      <c r="J16" s="1047" t="s">
        <v>177</v>
      </c>
      <c r="K16" s="1054"/>
      <c r="L16" s="1054"/>
      <c r="M16" s="1054"/>
      <c r="N16"/>
      <c r="O16" s="794"/>
    </row>
    <row r="17" spans="2:15" ht="20" hidden="1" x14ac:dyDescent="0.2">
      <c r="D17" s="300"/>
      <c r="G17" s="797"/>
      <c r="H17" s="26"/>
      <c r="I17" s="798"/>
      <c r="J17" s="761" t="s">
        <v>162</v>
      </c>
      <c r="K17" s="761" t="s">
        <v>170</v>
      </c>
      <c r="L17" s="761"/>
      <c r="M17" s="924"/>
      <c r="N17"/>
      <c r="O17" s="794"/>
    </row>
    <row r="18" spans="2:15" ht="38" hidden="1" x14ac:dyDescent="0.2">
      <c r="B18" s="383" t="s">
        <v>123</v>
      </c>
      <c r="C18" s="187">
        <v>5800</v>
      </c>
      <c r="D18" s="187">
        <v>10000</v>
      </c>
      <c r="G18" s="797"/>
      <c r="H18"/>
      <c r="I18"/>
      <c r="J18" s="763">
        <f>+H16/H8*BQ53</f>
        <v>-14.370222622406416</v>
      </c>
      <c r="K18" s="763">
        <f>((H8-H16)/H8)*BQ53</f>
        <v>257.97022262240642</v>
      </c>
      <c r="L18" s="763"/>
      <c r="M18" s="761" t="s">
        <v>168</v>
      </c>
      <c r="N18"/>
      <c r="O18" s="794"/>
    </row>
    <row r="19" spans="2:15" ht="38" hidden="1" x14ac:dyDescent="0.2">
      <c r="B19" s="384" t="s">
        <v>69</v>
      </c>
      <c r="C19" s="187">
        <v>5800</v>
      </c>
      <c r="D19" s="187">
        <v>5800</v>
      </c>
      <c r="G19" s="797"/>
      <c r="H19"/>
      <c r="I19"/>
      <c r="J19" s="764">
        <f>ABS($H$1/J18)</f>
        <v>1252.5901980066712</v>
      </c>
      <c r="K19" s="764">
        <f>ABS($H$1/K18)</f>
        <v>69.775495082418018</v>
      </c>
      <c r="L19" s="764"/>
      <c r="M19" s="766" t="s">
        <v>167</v>
      </c>
      <c r="N19"/>
      <c r="O19" s="794"/>
    </row>
    <row r="20" spans="2:15" ht="38" hidden="1" x14ac:dyDescent="0.2">
      <c r="B20" s="384" t="s">
        <v>70</v>
      </c>
      <c r="C20" s="187">
        <v>8000</v>
      </c>
      <c r="D20" s="187">
        <v>8000</v>
      </c>
      <c r="E20" s="38">
        <v>8000</v>
      </c>
      <c r="G20" s="797"/>
      <c r="H20"/>
      <c r="I20"/>
      <c r="J20" s="1045">
        <f>ABS($E$20/BQ53)</f>
        <v>32.840722495894909</v>
      </c>
      <c r="K20" s="1045"/>
      <c r="L20" s="1045"/>
      <c r="M20" s="1046" t="s">
        <v>308</v>
      </c>
      <c r="N20"/>
      <c r="O20" s="794"/>
    </row>
    <row r="21" spans="2:15" ht="19" hidden="1" thickBot="1" x14ac:dyDescent="0.25">
      <c r="B21" s="187"/>
      <c r="C21" s="187" t="s">
        <v>18</v>
      </c>
      <c r="D21" s="187" t="s">
        <v>19</v>
      </c>
      <c r="G21" s="797"/>
      <c r="H21"/>
      <c r="I21"/>
      <c r="J21" s="43"/>
      <c r="K21" s="43"/>
      <c r="L21" s="43"/>
      <c r="M21" s="43"/>
      <c r="N21"/>
      <c r="O21" s="794"/>
    </row>
    <row r="22" spans="2:15" ht="21" hidden="1" thickBot="1" x14ac:dyDescent="0.25">
      <c r="B22" s="303" t="s">
        <v>58</v>
      </c>
      <c r="C22" s="187">
        <f>+((C8-C9)/C8)*C7</f>
        <v>107.74139062434097</v>
      </c>
      <c r="D22" s="187">
        <f>+(C9/C8)*C7</f>
        <v>135.858609375659</v>
      </c>
      <c r="G22" s="793" t="s">
        <v>164</v>
      </c>
      <c r="H22" s="824">
        <f>(+COS(($B$132*-1)*3.14159265358979/180)*(H4))</f>
        <v>860</v>
      </c>
      <c r="I22" s="783" t="s">
        <v>196</v>
      </c>
      <c r="J22" s="1047" t="s">
        <v>199</v>
      </c>
      <c r="K22" s="1054"/>
      <c r="L22" s="1054"/>
      <c r="M22" s="1054"/>
      <c r="N22"/>
      <c r="O22" s="794"/>
    </row>
    <row r="23" spans="2:15" ht="20" hidden="1" x14ac:dyDescent="0.2">
      <c r="G23" s="793" t="s">
        <v>179</v>
      </c>
      <c r="H23" s="865">
        <f>+BL138-H22+H7</f>
        <v>-159.31692174130797</v>
      </c>
      <c r="I23" s="798"/>
      <c r="J23" s="756"/>
      <c r="K23" s="756" t="s">
        <v>160</v>
      </c>
      <c r="L23" s="756" t="s">
        <v>161</v>
      </c>
      <c r="M23" s="1054"/>
      <c r="N23"/>
      <c r="O23" s="794"/>
    </row>
    <row r="24" spans="2:15" ht="20" hidden="1" x14ac:dyDescent="0.2">
      <c r="G24" s="797"/>
      <c r="H24"/>
      <c r="I24"/>
      <c r="J24" s="763"/>
      <c r="K24" s="763">
        <f>((+H8-H23)/H8*BQ53)</f>
        <v>424.10977737759356</v>
      </c>
      <c r="L24" s="763">
        <f>(H23/H8*BQ53)</f>
        <v>-180.50977737759357</v>
      </c>
      <c r="M24" s="761" t="s">
        <v>168</v>
      </c>
      <c r="N24"/>
      <c r="O24" s="794"/>
    </row>
    <row r="25" spans="2:15" ht="20" hidden="1" x14ac:dyDescent="0.2">
      <c r="G25" s="797"/>
      <c r="H25"/>
      <c r="I25"/>
      <c r="J25" s="764"/>
      <c r="K25" s="764">
        <f>ABS($H$1/K24)</f>
        <v>42.441841617752267</v>
      </c>
      <c r="L25" s="764">
        <f>ABS($H$1/L24)</f>
        <v>99.717590157719158</v>
      </c>
      <c r="M25" s="766" t="s">
        <v>167</v>
      </c>
      <c r="N25"/>
      <c r="O25" s="794"/>
    </row>
    <row r="26" spans="2:15" ht="20" hidden="1" x14ac:dyDescent="0.2">
      <c r="G26" s="797"/>
      <c r="H26"/>
      <c r="I26"/>
      <c r="J26" s="1045"/>
      <c r="K26" s="1045"/>
      <c r="L26" s="1045">
        <f>ABS($E$20/BQ53)</f>
        <v>32.840722495894909</v>
      </c>
      <c r="M26" s="1046" t="s">
        <v>308</v>
      </c>
      <c r="N26"/>
      <c r="O26" s="794"/>
    </row>
    <row r="27" spans="2:15" ht="19" hidden="1" thickBot="1" x14ac:dyDescent="0.25">
      <c r="G27" s="797"/>
      <c r="H27"/>
      <c r="I27"/>
      <c r="J27" s="43"/>
      <c r="K27" s="43"/>
      <c r="L27" s="43"/>
      <c r="M27" s="43"/>
      <c r="N27"/>
      <c r="O27" s="794"/>
    </row>
    <row r="28" spans="2:15" ht="21" hidden="1" thickBot="1" x14ac:dyDescent="0.25">
      <c r="G28" s="797"/>
      <c r="H28"/>
      <c r="I28" s="783">
        <v>60</v>
      </c>
      <c r="J28" s="1047" t="s">
        <v>186</v>
      </c>
      <c r="K28" s="1054"/>
      <c r="L28" s="1054"/>
      <c r="M28" s="1054"/>
      <c r="N28"/>
      <c r="O28" s="794"/>
    </row>
    <row r="29" spans="2:15" ht="20" hidden="1" x14ac:dyDescent="0.2">
      <c r="G29" s="797"/>
      <c r="H29"/>
      <c r="I29"/>
      <c r="J29" s="761"/>
      <c r="K29" s="761" t="s">
        <v>160</v>
      </c>
      <c r="L29" s="761" t="s">
        <v>161</v>
      </c>
      <c r="M29" s="924"/>
      <c r="N29"/>
      <c r="O29" s="794"/>
    </row>
    <row r="30" spans="2:15" ht="20" hidden="1" x14ac:dyDescent="0.2">
      <c r="G30" s="799"/>
      <c r="H30" s="47"/>
      <c r="I30"/>
      <c r="J30" s="763"/>
      <c r="K30" s="763">
        <f>((+H8-H23)/H8*BQ53)</f>
        <v>424.10977737759356</v>
      </c>
      <c r="L30" s="763">
        <f>(H23/H8*BQ53)</f>
        <v>-180.50977737759357</v>
      </c>
      <c r="M30" s="761" t="s">
        <v>168</v>
      </c>
      <c r="N30"/>
      <c r="O30" s="794"/>
    </row>
    <row r="31" spans="2:15" ht="20" hidden="1" x14ac:dyDescent="0.2">
      <c r="G31" s="799"/>
      <c r="H31" s="47"/>
      <c r="I31"/>
      <c r="J31" s="764"/>
      <c r="K31" s="764">
        <f>ABS($H$1/K30)</f>
        <v>42.441841617752267</v>
      </c>
      <c r="L31" s="764">
        <f>ABS($H$1/L30)</f>
        <v>99.717590157719158</v>
      </c>
      <c r="M31" s="766" t="s">
        <v>167</v>
      </c>
      <c r="N31"/>
      <c r="O31" s="794"/>
    </row>
    <row r="32" spans="2:15" ht="20" hidden="1" x14ac:dyDescent="0.2">
      <c r="G32" s="799"/>
      <c r="H32" s="47"/>
      <c r="I32"/>
      <c r="J32" s="1045"/>
      <c r="K32" s="1045"/>
      <c r="L32" s="1045">
        <f>ABS($E$20/BQ53)*2</f>
        <v>65.681444991789817</v>
      </c>
      <c r="M32" s="1046" t="s">
        <v>308</v>
      </c>
      <c r="N32" s="1052" t="s">
        <v>309</v>
      </c>
      <c r="O32" s="794"/>
    </row>
    <row r="33" spans="7:15" ht="19" hidden="1" thickBot="1" x14ac:dyDescent="0.25">
      <c r="G33" s="799"/>
      <c r="H33" s="47"/>
      <c r="I33"/>
      <c r="J33" s="43"/>
      <c r="K33" s="43"/>
      <c r="L33" s="43"/>
      <c r="M33" s="43"/>
      <c r="N33"/>
      <c r="O33" s="794"/>
    </row>
    <row r="34" spans="7:15" ht="21" hidden="1" thickBot="1" x14ac:dyDescent="0.25">
      <c r="G34" s="799"/>
      <c r="H34" s="47"/>
      <c r="I34" s="783">
        <v>61</v>
      </c>
      <c r="J34" s="1047" t="s">
        <v>200</v>
      </c>
      <c r="K34" s="1054"/>
      <c r="L34" s="1054"/>
      <c r="M34" s="1054"/>
      <c r="N34"/>
      <c r="O34" s="794"/>
    </row>
    <row r="35" spans="7:15" ht="20" hidden="1" x14ac:dyDescent="0.2">
      <c r="G35" s="799"/>
      <c r="H35" s="47"/>
      <c r="I35"/>
      <c r="J35" s="761" t="s">
        <v>162</v>
      </c>
      <c r="K35" s="761" t="s">
        <v>170</v>
      </c>
      <c r="L35" s="761"/>
      <c r="M35" s="924"/>
      <c r="N35"/>
      <c r="O35" s="794"/>
    </row>
    <row r="36" spans="7:15" ht="20" hidden="1" x14ac:dyDescent="0.2">
      <c r="G36" s="799"/>
      <c r="H36" s="47"/>
      <c r="I36"/>
      <c r="J36" s="763">
        <f>+H16/H8*BQ53</f>
        <v>-14.370222622406416</v>
      </c>
      <c r="K36" s="763">
        <f>((H8-H16)/H8)*BQ53</f>
        <v>257.97022262240642</v>
      </c>
      <c r="L36" s="763"/>
      <c r="M36" s="761" t="s">
        <v>168</v>
      </c>
      <c r="N36"/>
      <c r="O36" s="794"/>
    </row>
    <row r="37" spans="7:15" ht="20" hidden="1" x14ac:dyDescent="0.2">
      <c r="G37" s="799"/>
      <c r="H37" s="47"/>
      <c r="I37"/>
      <c r="J37" s="764">
        <f>ABS($H$1/J36)</f>
        <v>1252.5901980066712</v>
      </c>
      <c r="K37" s="764">
        <f>ABS($H$1/K36)</f>
        <v>69.775495082418018</v>
      </c>
      <c r="L37" s="764"/>
      <c r="M37" s="766" t="s">
        <v>167</v>
      </c>
      <c r="N37"/>
      <c r="O37" s="794"/>
    </row>
    <row r="38" spans="7:15" ht="20" hidden="1" x14ac:dyDescent="0.2">
      <c r="G38" s="799"/>
      <c r="H38" s="47"/>
      <c r="I38"/>
      <c r="J38" s="1045">
        <f>ABS($E$20/BQ53)*2</f>
        <v>65.681444991789817</v>
      </c>
      <c r="K38" s="1045"/>
      <c r="L38" s="1045"/>
      <c r="M38" s="1046" t="s">
        <v>308</v>
      </c>
      <c r="N38" s="1052" t="s">
        <v>309</v>
      </c>
      <c r="O38" s="794"/>
    </row>
    <row r="39" spans="7:15" ht="19" hidden="1" thickBot="1" x14ac:dyDescent="0.25">
      <c r="G39" s="797"/>
      <c r="H39"/>
      <c r="I39"/>
      <c r="J39" s="43"/>
      <c r="K39" s="43"/>
      <c r="L39" s="43"/>
      <c r="M39" s="43"/>
      <c r="N39"/>
      <c r="O39" s="794"/>
    </row>
    <row r="40" spans="7:15" ht="24" hidden="1" thickBot="1" x14ac:dyDescent="0.3">
      <c r="G40" s="797"/>
      <c r="H40" s="841" t="s">
        <v>207</v>
      </c>
      <c r="I40" s="783">
        <v>62</v>
      </c>
      <c r="J40" s="1047" t="s">
        <v>201</v>
      </c>
      <c r="K40" s="1054"/>
      <c r="L40" s="1054"/>
      <c r="M40" s="1054"/>
      <c r="N40"/>
      <c r="O40" s="794"/>
    </row>
    <row r="41" spans="7:15" ht="20" hidden="1" x14ac:dyDescent="0.2">
      <c r="G41" s="797"/>
      <c r="H41" s="800" t="s">
        <v>195</v>
      </c>
      <c r="I41"/>
      <c r="J41" s="761" t="s">
        <v>162</v>
      </c>
      <c r="K41" s="761" t="s">
        <v>170</v>
      </c>
      <c r="L41" s="771" t="s">
        <v>187</v>
      </c>
      <c r="M41" s="924"/>
      <c r="N41"/>
      <c r="O41" s="794"/>
    </row>
    <row r="42" spans="7:15" ht="23" hidden="1" x14ac:dyDescent="0.25">
      <c r="G42" s="801" t="s">
        <v>190</v>
      </c>
      <c r="H42" s="825">
        <f>SUM(BQ127:CA127)</f>
        <v>8</v>
      </c>
      <c r="I42"/>
      <c r="J42" s="763">
        <f>+H43/H8*BQ53/2</f>
        <v>219.24</v>
      </c>
      <c r="K42" s="763">
        <f>((H8-H43)/H8)*BQ53/2</f>
        <v>-97.44</v>
      </c>
      <c r="L42" s="763">
        <f>+BQ53/2</f>
        <v>121.8</v>
      </c>
      <c r="M42" s="761" t="s">
        <v>168</v>
      </c>
      <c r="N42"/>
      <c r="O42" s="794"/>
    </row>
    <row r="43" spans="7:15" ht="20" hidden="1" x14ac:dyDescent="0.2">
      <c r="G43" s="793" t="s">
        <v>188</v>
      </c>
      <c r="H43" s="824">
        <f>$H$5-((H42-1)*$E$2)</f>
        <v>387</v>
      </c>
      <c r="I43"/>
      <c r="J43" s="764">
        <f>ABS($H$1/J42)</f>
        <v>82.101806239737272</v>
      </c>
      <c r="K43" s="764">
        <f>ABS($H$1/K42)</f>
        <v>184.72906403940888</v>
      </c>
      <c r="L43" s="764">
        <f>ABS($H$1/L42)</f>
        <v>147.78325123152709</v>
      </c>
      <c r="M43" s="766" t="s">
        <v>167</v>
      </c>
      <c r="N43"/>
      <c r="O43" s="794"/>
    </row>
    <row r="44" spans="7:15" ht="20" hidden="1" x14ac:dyDescent="0.2">
      <c r="G44" s="799"/>
      <c r="H44" s="47"/>
      <c r="I44"/>
      <c r="J44" s="1045"/>
      <c r="K44" s="1045"/>
      <c r="L44" s="1045">
        <f>ABS($E$20/BQ53)*2</f>
        <v>65.681444991789817</v>
      </c>
      <c r="M44" s="1046" t="s">
        <v>308</v>
      </c>
      <c r="N44" s="1052" t="s">
        <v>309</v>
      </c>
      <c r="O44" s="794"/>
    </row>
    <row r="45" spans="7:15" ht="21" hidden="1" thickBot="1" x14ac:dyDescent="0.25">
      <c r="G45" s="797"/>
      <c r="H45" s="842" t="s">
        <v>208</v>
      </c>
      <c r="I45"/>
      <c r="J45" s="43"/>
      <c r="K45" s="43"/>
      <c r="L45" s="43"/>
      <c r="M45" s="43"/>
      <c r="N45"/>
      <c r="O45" s="794"/>
    </row>
    <row r="46" spans="7:15" ht="21" hidden="1" thickBot="1" x14ac:dyDescent="0.25">
      <c r="G46" s="803"/>
      <c r="H46" s="804" t="s">
        <v>195</v>
      </c>
      <c r="I46" s="783">
        <v>63</v>
      </c>
      <c r="J46" s="1047" t="s">
        <v>202</v>
      </c>
      <c r="K46" s="1054"/>
      <c r="L46" s="1054"/>
      <c r="M46" s="1054"/>
      <c r="N46"/>
      <c r="O46" s="794"/>
    </row>
    <row r="47" spans="7:15" ht="23" hidden="1" x14ac:dyDescent="0.25">
      <c r="G47" s="801" t="s">
        <v>190</v>
      </c>
      <c r="H47" s="826">
        <f>SUM(CQ127:DA127)</f>
        <v>0</v>
      </c>
      <c r="I47"/>
      <c r="J47" s="771" t="s">
        <v>189</v>
      </c>
      <c r="K47" s="761" t="s">
        <v>160</v>
      </c>
      <c r="L47" s="761" t="s">
        <v>161</v>
      </c>
      <c r="M47" s="924"/>
      <c r="N47"/>
      <c r="O47" s="794"/>
    </row>
    <row r="48" spans="7:15" ht="20" hidden="1" x14ac:dyDescent="0.2">
      <c r="G48" s="793" t="s">
        <v>188</v>
      </c>
      <c r="H48" s="844">
        <f>($E$2*(H47-1))-$H$4</f>
        <v>-903</v>
      </c>
      <c r="I48"/>
      <c r="J48" s="763">
        <f>+BQ53/2</f>
        <v>121.8</v>
      </c>
      <c r="K48" s="763">
        <f>((H8-H48)/H8)*BQ53/2</f>
        <v>633.36</v>
      </c>
      <c r="L48" s="763">
        <f>+H48/H8*BQ53/2</f>
        <v>-511.56</v>
      </c>
      <c r="M48" s="761" t="s">
        <v>168</v>
      </c>
      <c r="N48"/>
      <c r="O48" s="794"/>
    </row>
    <row r="49" spans="2:144" ht="20" hidden="1" x14ac:dyDescent="0.2">
      <c r="G49" s="797"/>
      <c r="H49"/>
      <c r="I49"/>
      <c r="J49" s="764">
        <f>ABS($H$1/J48)</f>
        <v>147.78325123152709</v>
      </c>
      <c r="K49" s="764">
        <f>ABS($H$1/K48)</f>
        <v>28.419856006062901</v>
      </c>
      <c r="L49" s="764">
        <f>ABS($H$1/L48)</f>
        <v>35.186488388458834</v>
      </c>
      <c r="M49" s="766" t="s">
        <v>167</v>
      </c>
      <c r="N49" s="58"/>
      <c r="O49" s="809"/>
    </row>
    <row r="50" spans="2:144" ht="20" hidden="1" x14ac:dyDescent="0.2">
      <c r="G50" s="797"/>
      <c r="H50"/>
      <c r="I50"/>
      <c r="J50" s="1045">
        <f>ABS($E$20/BQ53)*2</f>
        <v>65.681444991789817</v>
      </c>
      <c r="K50" s="1045"/>
      <c r="L50" s="1045"/>
      <c r="M50" s="1046" t="s">
        <v>308</v>
      </c>
      <c r="N50" s="1052" t="s">
        <v>309</v>
      </c>
      <c r="O50" s="794"/>
    </row>
    <row r="51" spans="2:144" ht="19" hidden="1" thickBot="1" x14ac:dyDescent="0.25">
      <c r="G51" s="797"/>
      <c r="H51"/>
      <c r="I51"/>
      <c r="J51" s="43"/>
      <c r="K51" s="43"/>
      <c r="L51" s="43"/>
      <c r="M51" s="43"/>
      <c r="N51"/>
      <c r="O51" s="794"/>
    </row>
    <row r="52" spans="2:144" ht="21" hidden="1" thickBot="1" x14ac:dyDescent="0.25">
      <c r="G52" s="797"/>
      <c r="H52"/>
      <c r="I52" s="783">
        <v>64</v>
      </c>
      <c r="J52" s="1047" t="s">
        <v>203</v>
      </c>
      <c r="K52" s="1054"/>
      <c r="L52" s="1054"/>
      <c r="M52" s="1054"/>
      <c r="N52"/>
      <c r="O52" s="794"/>
    </row>
    <row r="53" spans="2:144" ht="24" thickBot="1" x14ac:dyDescent="0.3">
      <c r="G53" s="801" t="s">
        <v>190</v>
      </c>
      <c r="H53" s="806" t="s">
        <v>197</v>
      </c>
      <c r="I53"/>
      <c r="J53" s="771" t="s">
        <v>189</v>
      </c>
      <c r="K53" s="761"/>
      <c r="L53" s="771" t="s">
        <v>187</v>
      </c>
      <c r="M53" s="924"/>
      <c r="N53"/>
      <c r="O53" s="794"/>
      <c r="BE53" s="58"/>
      <c r="BF53" s="58"/>
      <c r="BG53" s="58"/>
      <c r="BH53" s="58"/>
      <c r="BO53" s="48"/>
      <c r="BP53" s="59" t="s">
        <v>23</v>
      </c>
      <c r="BQ53" s="1105">
        <f>+C7</f>
        <v>243.6</v>
      </c>
      <c r="BR53" s="1105"/>
      <c r="BS53" s="60" t="s">
        <v>15</v>
      </c>
      <c r="BT53" s="60"/>
      <c r="BU53" s="61" t="s">
        <v>263</v>
      </c>
      <c r="BV53" s="62"/>
      <c r="BW53" s="62"/>
      <c r="BX53" s="62"/>
      <c r="BY53" s="62"/>
      <c r="BZ53" s="62"/>
      <c r="CA53" s="62"/>
      <c r="CB53" s="62"/>
      <c r="CC53" s="62"/>
      <c r="CD53" s="62"/>
      <c r="CE53" s="62"/>
      <c r="CF53" s="62"/>
      <c r="CG53" s="62"/>
      <c r="CH53" s="62"/>
      <c r="CI53" s="62"/>
      <c r="CJ53" s="62"/>
      <c r="CK53" s="62"/>
      <c r="CL53" s="62"/>
      <c r="CM53" s="62"/>
      <c r="CN53" s="62"/>
      <c r="CO53" s="62"/>
      <c r="CP53" s="62"/>
      <c r="CQ53" s="62"/>
      <c r="CR53" s="62"/>
      <c r="CS53" s="62"/>
      <c r="CT53" s="62"/>
      <c r="CU53" s="62"/>
      <c r="CV53" s="62"/>
      <c r="CW53" s="62"/>
      <c r="CX53" s="62"/>
      <c r="CY53" s="62"/>
      <c r="CZ53" s="62"/>
      <c r="DA53" s="62"/>
      <c r="DB53" s="62"/>
      <c r="DC53" s="62"/>
      <c r="DD53" s="62"/>
    </row>
    <row r="54" spans="2:144" s="58" customFormat="1" ht="43" thickBot="1" x14ac:dyDescent="0.3">
      <c r="B54" s="170"/>
      <c r="C54" s="170"/>
      <c r="G54" s="793" t="s">
        <v>188</v>
      </c>
      <c r="H54" s="756"/>
      <c r="I54"/>
      <c r="J54" s="763">
        <f>+((H6-D3)/H6)*BQ53</f>
        <v>151.46777763485485</v>
      </c>
      <c r="K54" s="763"/>
      <c r="L54" s="763">
        <f>+(D3/H6)*BQ53</f>
        <v>92.132222365145168</v>
      </c>
      <c r="M54" s="761" t="s">
        <v>168</v>
      </c>
      <c r="N54"/>
      <c r="O54" s="794"/>
      <c r="P54" s="48"/>
      <c r="Q54" s="48"/>
      <c r="R54" s="48"/>
      <c r="S54" s="48"/>
      <c r="T54" s="48"/>
      <c r="U54" s="48"/>
      <c r="V54" s="48"/>
      <c r="W54" s="48"/>
      <c r="X54" s="48"/>
      <c r="Y54" s="48"/>
      <c r="Z54" s="48"/>
      <c r="AA54" s="48"/>
      <c r="AB54" s="48"/>
      <c r="AC54" s="48"/>
      <c r="AD54" s="48"/>
      <c r="AE54" s="48"/>
      <c r="AF54" s="48"/>
      <c r="AG54" s="48"/>
      <c r="AH54" s="48"/>
      <c r="AI54" s="48"/>
      <c r="AJ54" s="48"/>
      <c r="AK54" s="48"/>
      <c r="AL54" s="48"/>
      <c r="AM54" s="48"/>
      <c r="AN54" s="48"/>
      <c r="AO54" s="48"/>
      <c r="AP54" s="48"/>
      <c r="AQ54" s="48"/>
      <c r="AR54" s="48"/>
      <c r="AS54" s="48"/>
      <c r="AT54" s="48"/>
      <c r="AU54" s="48"/>
      <c r="AV54" s="48"/>
      <c r="AW54" s="48"/>
      <c r="AX54" s="48"/>
      <c r="AY54" s="48"/>
      <c r="AZ54" s="48"/>
      <c r="BA54" s="48"/>
      <c r="BB54" s="48"/>
      <c r="BD54"/>
      <c r="BE54" s="68"/>
      <c r="BF54" s="68"/>
      <c r="BG54" s="68"/>
      <c r="BH54" s="68"/>
      <c r="BI54"/>
      <c r="BJ54"/>
      <c r="BK54"/>
      <c r="BL54"/>
      <c r="BM54" s="65" t="b">
        <f>AND(BQ55&gt;0,CO55&gt;0)</f>
        <v>1</v>
      </c>
      <c r="BN54" s="752" t="str">
        <f>IF(BM54=TRUE,"","negative force at the motor")</f>
        <v/>
      </c>
      <c r="BO54" s="866" t="s">
        <v>112</v>
      </c>
      <c r="BP54" s="583" t="s">
        <v>25</v>
      </c>
      <c r="BQ54" s="619" t="s">
        <v>26</v>
      </c>
      <c r="BR54" s="620"/>
      <c r="BS54" s="620"/>
      <c r="BT54" s="620"/>
      <c r="BU54" s="620"/>
      <c r="BV54" s="620"/>
      <c r="BW54" s="620"/>
      <c r="BX54" s="620"/>
      <c r="BY54" s="620"/>
      <c r="BZ54" s="620"/>
      <c r="CA54" s="620"/>
      <c r="CB54" s="620"/>
      <c r="CC54" s="620"/>
      <c r="CD54" s="620"/>
      <c r="CE54" s="620"/>
      <c r="CF54" s="620"/>
      <c r="CG54" s="620"/>
      <c r="CH54" s="620"/>
      <c r="CI54" s="699"/>
      <c r="CJ54" s="620"/>
      <c r="CK54" s="700"/>
      <c r="CL54" s="700"/>
      <c r="CM54" s="700"/>
      <c r="CN54" s="700"/>
      <c r="CO54" s="620"/>
      <c r="CP54" s="625" t="s">
        <v>27</v>
      </c>
      <c r="CQ54" s="1092"/>
      <c r="CR54" s="1092"/>
      <c r="CS54" s="1092"/>
      <c r="CT54" s="1092"/>
      <c r="CU54" s="1092"/>
      <c r="CV54" s="1092"/>
      <c r="CW54" s="1092"/>
      <c r="CX54" s="1092"/>
      <c r="CY54" s="1092"/>
      <c r="CZ54" s="1092"/>
      <c r="DA54" s="1093"/>
      <c r="DB54" s="62"/>
      <c r="DC54" s="62"/>
      <c r="DD54" s="62"/>
      <c r="DE54"/>
      <c r="DF54"/>
      <c r="DG54"/>
      <c r="DH54"/>
      <c r="DI54"/>
      <c r="DJ54"/>
      <c r="DK54"/>
      <c r="DL54"/>
      <c r="DM54"/>
      <c r="DN54"/>
      <c r="DO54"/>
      <c r="DP54"/>
      <c r="DQ54"/>
      <c r="DR54"/>
      <c r="DS54"/>
      <c r="DT54"/>
      <c r="DU54"/>
      <c r="DV54"/>
      <c r="DW54"/>
      <c r="DX54"/>
      <c r="DY54"/>
      <c r="DZ54"/>
      <c r="EA54"/>
      <c r="EB54"/>
      <c r="EC54"/>
      <c r="ED54"/>
      <c r="EE54"/>
      <c r="EF54"/>
      <c r="EG54"/>
      <c r="EH54"/>
      <c r="EI54"/>
      <c r="EJ54"/>
      <c r="EK54"/>
      <c r="EL54"/>
      <c r="EM54"/>
      <c r="EN54"/>
    </row>
    <row r="55" spans="2:144" ht="42.75" customHeight="1" thickBot="1" x14ac:dyDescent="0.3">
      <c r="G55" s="799"/>
      <c r="H55" s="47"/>
      <c r="I55"/>
      <c r="J55" s="764">
        <f>ABS($H$1/J54)</f>
        <v>118.83715652970635</v>
      </c>
      <c r="K55" s="764"/>
      <c r="L55" s="764">
        <f>ABS($H$1/L54)</f>
        <v>195.37138623077041</v>
      </c>
      <c r="M55" s="766" t="s">
        <v>167</v>
      </c>
      <c r="N55"/>
      <c r="O55" s="794"/>
      <c r="U55" s="97"/>
      <c r="BE55" s="68"/>
      <c r="BF55" s="68"/>
      <c r="BG55" s="68"/>
      <c r="BH55" s="68"/>
      <c r="BL55" s="767">
        <v>1</v>
      </c>
      <c r="BM55" s="1055" t="b">
        <f>AND(BO55&gt;=10,$BA$139&gt;=10,$BB$139&gt;=10,$BA$178&gt;=10,$BB$178&gt;=10,$BA$202&gt;=10,$BB$202&gt;=10)</f>
        <v>1</v>
      </c>
      <c r="BN55" s="67" t="str">
        <f>IF(BM55=TRUE,"O K","OVERLOAD")</f>
        <v>O K</v>
      </c>
      <c r="BO55" s="781">
        <f>+MIN(J7:L8)</f>
        <v>50.38479988816411</v>
      </c>
      <c r="BP55" s="584" t="s">
        <v>134</v>
      </c>
      <c r="BQ55" s="1100">
        <f>+((D4-D5)/D4)*C7</f>
        <v>84.821955475518706</v>
      </c>
      <c r="BR55" s="1101"/>
      <c r="BS55" s="626"/>
      <c r="BT55" s="626"/>
      <c r="BU55" s="626"/>
      <c r="BV55" s="627"/>
      <c r="BW55" s="627"/>
      <c r="BX55" s="627"/>
      <c r="BY55" s="701"/>
      <c r="BZ55" s="701"/>
      <c r="CA55" s="701"/>
      <c r="CB55" s="701"/>
      <c r="CC55" s="701"/>
      <c r="CD55" s="701"/>
      <c r="CE55" s="701"/>
      <c r="CF55" s="701"/>
      <c r="CG55" s="701"/>
      <c r="CH55" s="701"/>
      <c r="CI55" s="702"/>
      <c r="CJ55" s="626"/>
      <c r="CK55" s="626"/>
      <c r="CL55" s="626"/>
      <c r="CM55" s="627"/>
      <c r="CN55" s="627"/>
      <c r="CO55" s="1090">
        <f>+(D5/D4)*C7</f>
        <v>158.77804452448126</v>
      </c>
      <c r="CP55" s="1091"/>
      <c r="CQ55" s="1094"/>
      <c r="CR55" s="1094"/>
      <c r="CS55" s="1094"/>
      <c r="CT55" s="1094"/>
      <c r="CU55" s="1094"/>
      <c r="CV55" s="1094"/>
      <c r="CW55" s="1094"/>
      <c r="CX55" s="1094"/>
      <c r="CY55" s="1094"/>
      <c r="CZ55" s="1094"/>
      <c r="DA55" s="1095"/>
      <c r="DB55" s="62"/>
      <c r="DC55" s="62"/>
      <c r="DD55" s="62"/>
    </row>
    <row r="56" spans="2:144" ht="21" customHeight="1" thickBot="1" x14ac:dyDescent="0.3">
      <c r="G56" s="799"/>
      <c r="H56" s="47"/>
      <c r="I56" s="58"/>
      <c r="J56" s="1045">
        <f>ABS($E$20/BQ53)*2</f>
        <v>65.681444991789817</v>
      </c>
      <c r="K56" s="1045"/>
      <c r="L56" s="1045"/>
      <c r="M56" s="1046" t="s">
        <v>308</v>
      </c>
      <c r="N56" s="1052" t="s">
        <v>309</v>
      </c>
      <c r="O56" s="794"/>
      <c r="BE56" s="68"/>
      <c r="BF56" s="68"/>
      <c r="BG56" s="68"/>
      <c r="BH56" s="68"/>
      <c r="BN56" s="69"/>
      <c r="BO56" s="68"/>
      <c r="BP56" s="70"/>
      <c r="BQ56" s="71"/>
      <c r="BR56" s="71"/>
      <c r="BS56" s="70"/>
      <c r="BT56" s="70"/>
      <c r="BU56" s="70"/>
      <c r="BV56" s="70"/>
      <c r="BW56" s="70"/>
      <c r="BX56" s="70"/>
      <c r="BY56" s="70"/>
      <c r="BZ56" s="70"/>
      <c r="CA56" s="70"/>
      <c r="CB56" s="70"/>
      <c r="CC56" s="70"/>
      <c r="CD56" s="70"/>
      <c r="CE56" s="70"/>
      <c r="CF56" s="70"/>
      <c r="CG56" s="70"/>
      <c r="CH56" s="70"/>
      <c r="CJ56" s="60"/>
      <c r="CK56" s="60"/>
      <c r="CL56" s="71"/>
      <c r="CM56" s="72"/>
      <c r="CN56" s="72"/>
      <c r="CO56" s="72"/>
      <c r="CP56" s="72"/>
      <c r="CQ56" s="72"/>
      <c r="CR56" s="72"/>
      <c r="CS56" s="72"/>
      <c r="CT56" s="72"/>
      <c r="CU56" s="72"/>
      <c r="CV56" s="72"/>
      <c r="CW56" s="72"/>
      <c r="CX56" s="72"/>
      <c r="CY56" s="72"/>
      <c r="CZ56" s="72"/>
      <c r="DA56" s="72"/>
      <c r="DB56" s="72"/>
      <c r="DC56" s="62"/>
      <c r="DD56" s="62"/>
    </row>
    <row r="57" spans="2:144" ht="42.75" customHeight="1" thickBot="1" x14ac:dyDescent="0.3">
      <c r="F57" s="385"/>
      <c r="G57" s="797"/>
      <c r="H57"/>
      <c r="I57"/>
      <c r="J57"/>
      <c r="K57"/>
      <c r="L57"/>
      <c r="M57"/>
      <c r="N57"/>
      <c r="O57" s="794"/>
      <c r="BE57" s="68"/>
      <c r="BF57" s="68"/>
      <c r="BG57" s="68"/>
      <c r="BH57" s="68"/>
      <c r="BM57" s="65" t="b">
        <f>AND(CB58&gt;0,CZ58&gt;0)</f>
        <v>1</v>
      </c>
      <c r="BN57" s="752" t="str">
        <f>IF(BM57=TRUE,"","negative force at the motor")</f>
        <v/>
      </c>
      <c r="BO57" s="866" t="s">
        <v>112</v>
      </c>
      <c r="BP57" s="585" t="s">
        <v>25</v>
      </c>
      <c r="BQ57" s="1119"/>
      <c r="BR57" s="1120"/>
      <c r="BS57" s="1120"/>
      <c r="BT57" s="1120"/>
      <c r="BU57" s="1120"/>
      <c r="BV57" s="1120"/>
      <c r="BW57" s="1120"/>
      <c r="BX57" s="1120"/>
      <c r="BY57" s="1120"/>
      <c r="BZ57" s="1120"/>
      <c r="CA57" s="1120"/>
      <c r="CB57" s="615" t="s">
        <v>26</v>
      </c>
      <c r="CC57" s="617"/>
      <c r="CD57" s="617"/>
      <c r="CE57" s="617"/>
      <c r="CF57" s="617"/>
      <c r="CG57" s="617"/>
      <c r="CH57" s="617"/>
      <c r="CI57" s="617"/>
      <c r="CJ57" s="617"/>
      <c r="CK57" s="617"/>
      <c r="CL57" s="617"/>
      <c r="CM57" s="617"/>
      <c r="CN57" s="703"/>
      <c r="CO57" s="608"/>
      <c r="CP57" s="608"/>
      <c r="CQ57" s="608"/>
      <c r="CR57" s="608"/>
      <c r="CS57" s="704"/>
      <c r="CT57" s="704"/>
      <c r="CU57" s="703"/>
      <c r="CV57" s="703"/>
      <c r="CW57" s="703"/>
      <c r="CX57" s="703"/>
      <c r="CY57" s="703"/>
      <c r="CZ57" s="608"/>
      <c r="DA57" s="609" t="s">
        <v>27</v>
      </c>
      <c r="DB57" s="73"/>
      <c r="DC57" s="62"/>
      <c r="DD57" s="62"/>
    </row>
    <row r="58" spans="2:144" ht="42.75" customHeight="1" thickBot="1" x14ac:dyDescent="0.3">
      <c r="G58" s="797"/>
      <c r="H58"/>
      <c r="I58"/>
      <c r="J58"/>
      <c r="K58"/>
      <c r="L58"/>
      <c r="M58"/>
      <c r="N58"/>
      <c r="O58" s="794"/>
      <c r="BL58" s="767">
        <v>2</v>
      </c>
      <c r="BM58" s="1055" t="b">
        <f>AND(BO58&gt;=10,$BA$139&gt;=10,$BB$139&gt;=10,$BA$178&gt;=10,$BB$178&gt;=10,$BA$202&gt;=10,$BB$202&gt;=10)</f>
        <v>1</v>
      </c>
      <c r="BN58" s="67" t="str">
        <f>IF(BM58=TRUE,"O K","OVERLOAD")</f>
        <v>O K</v>
      </c>
      <c r="BO58" s="781">
        <f>+MIN(J13:L14)</f>
        <v>41.665374285851371</v>
      </c>
      <c r="BP58" s="586" t="s">
        <v>111</v>
      </c>
      <c r="BQ58" s="1121"/>
      <c r="BR58" s="1122"/>
      <c r="BS58" s="1122"/>
      <c r="BT58" s="1122"/>
      <c r="BU58" s="1122"/>
      <c r="BV58" s="1122"/>
      <c r="BW58" s="1122"/>
      <c r="BX58" s="1122"/>
      <c r="BY58" s="1122"/>
      <c r="BZ58" s="1122"/>
      <c r="CA58" s="1122"/>
      <c r="CB58" s="1123">
        <f>+((D4-D3)/D4)*C7</f>
        <v>192.0059554755187</v>
      </c>
      <c r="CC58" s="1124"/>
      <c r="CD58" s="705"/>
      <c r="CE58" s="705"/>
      <c r="CF58" s="705"/>
      <c r="CG58" s="705"/>
      <c r="CH58" s="705"/>
      <c r="CI58" s="705"/>
      <c r="CJ58" s="705"/>
      <c r="CK58" s="705"/>
      <c r="CL58" s="705"/>
      <c r="CM58" s="705"/>
      <c r="CN58" s="706"/>
      <c r="CO58" s="707"/>
      <c r="CP58" s="707"/>
      <c r="CQ58" s="707"/>
      <c r="CR58" s="707"/>
      <c r="CS58" s="708"/>
      <c r="CT58" s="708"/>
      <c r="CU58" s="698"/>
      <c r="CV58" s="698"/>
      <c r="CW58" s="698"/>
      <c r="CX58" s="698"/>
      <c r="CY58" s="698"/>
      <c r="CZ58" s="1088">
        <f>+(D3/D4)*C7</f>
        <v>51.594044524481284</v>
      </c>
      <c r="DA58" s="1089"/>
      <c r="DB58" s="75"/>
      <c r="DC58" s="62"/>
      <c r="DD58" s="62"/>
    </row>
    <row r="59" spans="2:144" ht="16" customHeight="1" thickBot="1" x14ac:dyDescent="0.3">
      <c r="G59" s="797"/>
      <c r="H59"/>
      <c r="I59"/>
      <c r="J59"/>
      <c r="K59"/>
      <c r="L59"/>
      <c r="M59"/>
      <c r="N59"/>
      <c r="O59" s="794"/>
      <c r="BN59" s="69"/>
      <c r="BO59" s="11"/>
      <c r="BP59" s="76"/>
      <c r="BQ59" s="76"/>
      <c r="BR59" s="76"/>
      <c r="BS59" s="76"/>
      <c r="BT59" s="76"/>
      <c r="BU59" s="76"/>
      <c r="BV59" s="76"/>
      <c r="BW59" s="76"/>
      <c r="BX59" s="76"/>
      <c r="BY59" s="77"/>
      <c r="BZ59" s="77"/>
      <c r="CA59" s="72"/>
      <c r="CB59" s="72"/>
      <c r="CC59" s="72"/>
      <c r="CD59" s="72"/>
      <c r="CE59" s="72"/>
      <c r="CF59" s="72"/>
      <c r="CG59" s="72"/>
      <c r="CH59" s="72"/>
      <c r="CI59" s="72"/>
      <c r="CJ59" s="72"/>
      <c r="CK59" s="72"/>
      <c r="CL59" s="72"/>
      <c r="CM59" s="72"/>
      <c r="CN59" s="26"/>
      <c r="CO59" s="78"/>
      <c r="CP59" s="78"/>
      <c r="CQ59" s="78"/>
      <c r="CR59" s="78"/>
      <c r="CS59" s="75"/>
      <c r="CT59" s="75"/>
      <c r="CU59" s="75"/>
      <c r="CV59" s="75"/>
      <c r="CW59" s="75"/>
      <c r="CX59" s="75"/>
      <c r="CY59" s="75"/>
      <c r="CZ59" s="75"/>
      <c r="DA59" s="75"/>
      <c r="DB59" s="75"/>
      <c r="DC59" s="62"/>
      <c r="DD59" s="62"/>
    </row>
    <row r="60" spans="2:144" ht="42.75" customHeight="1" thickBot="1" x14ac:dyDescent="0.25">
      <c r="E60" s="300"/>
      <c r="F60" s="300"/>
      <c r="G60" s="797"/>
      <c r="H60"/>
      <c r="I60"/>
      <c r="J60"/>
      <c r="K60"/>
      <c r="L60"/>
      <c r="M60"/>
      <c r="N60"/>
      <c r="O60" s="794"/>
      <c r="BM60" s="65" t="b">
        <f>AND(CB61&gt;0,CQ61&gt;0)</f>
        <v>1</v>
      </c>
      <c r="BN60" s="752" t="str">
        <f>IF(BM60=TRUE,"","negative force at the motor")</f>
        <v/>
      </c>
      <c r="BO60" s="866" t="s">
        <v>112</v>
      </c>
      <c r="BP60" s="587" t="s">
        <v>25</v>
      </c>
      <c r="BQ60" s="1125"/>
      <c r="BR60" s="1126"/>
      <c r="BS60" s="1126"/>
      <c r="BT60" s="1126"/>
      <c r="BU60" s="1126"/>
      <c r="BV60" s="1126"/>
      <c r="BW60" s="1126"/>
      <c r="BX60" s="1126"/>
      <c r="BY60" s="1126"/>
      <c r="BZ60" s="1126"/>
      <c r="CA60" s="1126"/>
      <c r="CB60" s="709" t="s">
        <v>26</v>
      </c>
      <c r="CC60" s="710"/>
      <c r="CD60" s="710"/>
      <c r="CE60" s="710"/>
      <c r="CF60" s="710"/>
      <c r="CG60" s="710"/>
      <c r="CH60" s="710"/>
      <c r="CI60" s="711"/>
      <c r="CJ60" s="710"/>
      <c r="CK60" s="712"/>
      <c r="CL60" s="712"/>
      <c r="CM60" s="710"/>
      <c r="CN60" s="710"/>
      <c r="CO60" s="710"/>
      <c r="CP60" s="710"/>
      <c r="CQ60" s="710"/>
      <c r="CR60" s="713" t="s">
        <v>27</v>
      </c>
      <c r="CS60" s="1092"/>
      <c r="CT60" s="1092"/>
      <c r="CU60" s="1092"/>
      <c r="CV60" s="1092"/>
      <c r="CW60" s="1092"/>
      <c r="CX60" s="1092"/>
      <c r="CY60" s="1092"/>
      <c r="CZ60" s="1092"/>
      <c r="DA60" s="1093"/>
      <c r="DB60" s="72"/>
      <c r="DC60" s="62"/>
      <c r="DD60" s="62"/>
    </row>
    <row r="61" spans="2:144" ht="42.75" customHeight="1" thickBot="1" x14ac:dyDescent="0.3">
      <c r="E61" s="300"/>
      <c r="F61" s="300"/>
      <c r="G61" s="797"/>
      <c r="H61"/>
      <c r="I61"/>
      <c r="J61"/>
      <c r="K61"/>
      <c r="L61"/>
      <c r="M61"/>
      <c r="N61"/>
      <c r="O61" s="794"/>
      <c r="BL61" s="767">
        <v>3</v>
      </c>
      <c r="BM61" s="1055" t="b">
        <f>AND(BO61&gt;=10,$BA$139&gt;=10,$BB$139&gt;=10,$BA$178&gt;=10,$BB$178&gt;=10,$BA$202&gt;=10,$BB$202&gt;=10)</f>
        <v>1</v>
      </c>
      <c r="BN61" s="67" t="str">
        <f>IF(BM61=TRUE,"O K","OVERLOAD")</f>
        <v>O K</v>
      </c>
      <c r="BO61" s="782">
        <f>+$E$20/(MAX(CB61,CQ61))</f>
        <v>49.084480734934751</v>
      </c>
      <c r="BP61" s="588" t="s">
        <v>108</v>
      </c>
      <c r="BQ61" s="1127"/>
      <c r="BR61" s="1128"/>
      <c r="BS61" s="1128"/>
      <c r="BT61" s="1128"/>
      <c r="BU61" s="1128"/>
      <c r="BV61" s="1128"/>
      <c r="BW61" s="1128"/>
      <c r="BX61" s="1128"/>
      <c r="BY61" s="1128"/>
      <c r="BZ61" s="1128"/>
      <c r="CA61" s="1128"/>
      <c r="CB61" s="1098">
        <f>+((D2-D3)/D2)*C7</f>
        <v>162.98430543049798</v>
      </c>
      <c r="CC61" s="1099"/>
      <c r="CD61" s="714"/>
      <c r="CE61" s="714"/>
      <c r="CF61" s="714"/>
      <c r="CG61" s="714"/>
      <c r="CH61" s="714"/>
      <c r="CI61" s="715"/>
      <c r="CJ61" s="714"/>
      <c r="CK61" s="716"/>
      <c r="CL61" s="716"/>
      <c r="CM61" s="717"/>
      <c r="CN61" s="717"/>
      <c r="CO61" s="717"/>
      <c r="CP61" s="717"/>
      <c r="CQ61" s="1086">
        <f>+(D3/D2)*C7</f>
        <v>80.615694569502011</v>
      </c>
      <c r="CR61" s="1087"/>
      <c r="CS61" s="1094"/>
      <c r="CT61" s="1094"/>
      <c r="CU61" s="1094"/>
      <c r="CV61" s="1094"/>
      <c r="CW61" s="1094"/>
      <c r="CX61" s="1094"/>
      <c r="CY61" s="1094"/>
      <c r="CZ61" s="1094"/>
      <c r="DA61" s="1095"/>
      <c r="DB61" s="72"/>
      <c r="DC61" s="62"/>
      <c r="DD61" s="62"/>
    </row>
    <row r="62" spans="2:144" ht="16" customHeight="1" thickBot="1" x14ac:dyDescent="0.3">
      <c r="E62" s="300"/>
      <c r="F62" s="300"/>
      <c r="G62" s="797"/>
      <c r="H62"/>
      <c r="I62"/>
      <c r="J62"/>
      <c r="K62"/>
      <c r="L62"/>
      <c r="M62"/>
      <c r="N62"/>
      <c r="O62" s="794"/>
      <c r="BN62" s="69"/>
      <c r="BO62" s="11"/>
      <c r="BP62" s="76"/>
      <c r="BQ62" s="76"/>
      <c r="BR62" s="76"/>
      <c r="BS62" s="76"/>
      <c r="BT62" s="76"/>
      <c r="BU62" s="76"/>
      <c r="BV62" s="76"/>
      <c r="BW62" s="76"/>
      <c r="BX62" s="76"/>
      <c r="BY62" s="77"/>
      <c r="BZ62" s="77"/>
      <c r="CA62" s="72"/>
      <c r="CB62" s="72"/>
      <c r="CC62" s="72"/>
      <c r="CD62" s="72"/>
      <c r="CE62" s="72"/>
      <c r="CF62" s="72"/>
      <c r="CG62" s="72"/>
      <c r="CH62" s="72"/>
      <c r="CI62" s="72"/>
      <c r="CJ62" s="72"/>
      <c r="CK62" s="76"/>
      <c r="CL62" s="72"/>
      <c r="CM62" s="72"/>
      <c r="CN62" s="26"/>
      <c r="CO62" s="78"/>
      <c r="CP62" s="78"/>
      <c r="CQ62" s="78"/>
      <c r="CR62" s="78"/>
      <c r="CS62" s="75"/>
      <c r="CT62" s="75"/>
      <c r="CU62" s="75"/>
      <c r="CV62" s="75"/>
      <c r="CW62" s="75"/>
      <c r="CX62" s="75"/>
      <c r="CY62" s="75"/>
      <c r="CZ62" s="75"/>
      <c r="DA62" s="75"/>
      <c r="DB62" s="75"/>
      <c r="DC62" s="62"/>
      <c r="DD62" s="62"/>
    </row>
    <row r="63" spans="2:144" hidden="1" x14ac:dyDescent="0.2">
      <c r="B63" s="302"/>
      <c r="C63" s="302"/>
      <c r="D63" s="300"/>
      <c r="E63" s="300"/>
      <c r="F63" s="300"/>
      <c r="G63" s="797"/>
      <c r="H63"/>
      <c r="I63"/>
      <c r="J63"/>
      <c r="K63"/>
      <c r="L63"/>
      <c r="M63"/>
      <c r="N63"/>
      <c r="O63" s="794"/>
      <c r="U63" s="97"/>
      <c r="AB63" s="97"/>
      <c r="AC63" s="97"/>
      <c r="AD63" s="97"/>
      <c r="AE63" s="97"/>
      <c r="BE63" s="119"/>
      <c r="BF63" s="119"/>
      <c r="BG63" s="119"/>
      <c r="BH63" s="119"/>
      <c r="BN63" s="69"/>
    </row>
    <row r="64" spans="2:144" hidden="1" x14ac:dyDescent="0.2">
      <c r="B64" s="302"/>
      <c r="C64" s="302"/>
      <c r="D64" s="300"/>
      <c r="E64" s="300"/>
      <c r="F64" s="300"/>
      <c r="G64" s="797"/>
      <c r="H64"/>
      <c r="I64"/>
      <c r="J64"/>
      <c r="K64"/>
      <c r="L64"/>
      <c r="M64"/>
      <c r="N64"/>
      <c r="O64" s="794"/>
      <c r="U64" s="97"/>
      <c r="AB64" s="97"/>
      <c r="AC64" s="97"/>
      <c r="AD64" s="97"/>
      <c r="AE64" s="97"/>
      <c r="BE64" s="119"/>
      <c r="BF64" s="119"/>
      <c r="BG64" s="119"/>
      <c r="BH64" s="119"/>
      <c r="BN64" s="69"/>
    </row>
    <row r="65" spans="2:144" ht="23" hidden="1" x14ac:dyDescent="0.25">
      <c r="B65" s="302"/>
      <c r="C65" s="302"/>
      <c r="D65" s="300"/>
      <c r="E65" s="300"/>
      <c r="F65" s="300"/>
      <c r="G65" s="797"/>
      <c r="H65"/>
      <c r="I65"/>
      <c r="J65"/>
      <c r="K65"/>
      <c r="L65"/>
      <c r="M65"/>
      <c r="N65"/>
      <c r="O65" s="794"/>
      <c r="U65" s="97"/>
      <c r="AB65" s="97"/>
      <c r="AC65" s="97"/>
      <c r="AD65" s="97"/>
      <c r="AE65" s="97"/>
      <c r="BE65" s="119"/>
      <c r="BF65" s="119"/>
      <c r="BG65" s="119"/>
      <c r="BH65" s="119"/>
      <c r="BN65" s="69"/>
      <c r="BO65" s="10"/>
      <c r="BP65" s="160"/>
      <c r="BQ65" s="161"/>
      <c r="BR65" s="161"/>
      <c r="BS65" s="161"/>
      <c r="BT65" s="161"/>
      <c r="BU65" s="161"/>
      <c r="BV65" s="161"/>
      <c r="BW65" s="161"/>
      <c r="BX65" s="161"/>
      <c r="BY65" s="162"/>
      <c r="BZ65" s="162"/>
      <c r="CA65" s="163"/>
      <c r="CB65" s="163"/>
      <c r="CC65" s="163"/>
      <c r="CD65" s="163"/>
      <c r="CE65" s="163"/>
      <c r="CF65" s="163"/>
      <c r="CG65" s="163"/>
      <c r="CH65" s="163"/>
      <c r="CI65" s="26"/>
      <c r="CJ65" s="72"/>
      <c r="CK65" s="164"/>
      <c r="CL65" s="164"/>
      <c r="CM65" s="72"/>
      <c r="CN65" s="72"/>
      <c r="CO65" s="72"/>
      <c r="CP65" s="72"/>
      <c r="CQ65" s="72"/>
      <c r="CR65" s="72"/>
      <c r="CS65" s="72"/>
      <c r="CT65" s="72"/>
      <c r="CU65" s="72"/>
      <c r="CV65" s="72"/>
      <c r="CW65" s="161"/>
      <c r="CX65" s="161"/>
      <c r="CY65" s="161"/>
      <c r="CZ65" s="161"/>
      <c r="DA65" s="161"/>
      <c r="DB65" s="161"/>
      <c r="DC65" s="161"/>
      <c r="DD65" s="161"/>
    </row>
    <row r="66" spans="2:144" ht="24" hidden="1" thickBot="1" x14ac:dyDescent="0.3">
      <c r="B66" s="302"/>
      <c r="C66" s="302"/>
      <c r="D66" s="300"/>
      <c r="E66" s="300"/>
      <c r="F66" s="300"/>
      <c r="G66" s="797"/>
      <c r="H66"/>
      <c r="I66"/>
      <c r="J66"/>
      <c r="K66"/>
      <c r="L66"/>
      <c r="M66"/>
      <c r="N66"/>
      <c r="O66" s="794"/>
      <c r="U66" s="97"/>
      <c r="AB66" s="97"/>
      <c r="AC66" s="97"/>
      <c r="AD66" s="97"/>
      <c r="AE66" s="97"/>
      <c r="BE66" s="119"/>
      <c r="BF66" s="119"/>
      <c r="BG66" s="119"/>
      <c r="BH66" s="119"/>
      <c r="BN66" s="69"/>
      <c r="BO66" s="10"/>
      <c r="BP66" s="160"/>
      <c r="BQ66" s="161"/>
      <c r="BR66" s="161"/>
      <c r="BS66" s="161"/>
      <c r="BT66" s="161"/>
      <c r="BU66" s="161"/>
      <c r="BV66" s="161"/>
      <c r="BW66" s="161"/>
      <c r="BX66" s="161"/>
      <c r="BY66" s="162"/>
      <c r="BZ66" s="162"/>
      <c r="CA66" s="163"/>
      <c r="CB66" s="163"/>
      <c r="CC66" s="163"/>
      <c r="CD66" s="163"/>
      <c r="CE66" s="163"/>
      <c r="CF66" s="163"/>
      <c r="CG66" s="163"/>
      <c r="CH66" s="163"/>
      <c r="CI66" s="26"/>
      <c r="CJ66" s="72"/>
      <c r="CK66" s="164"/>
      <c r="CL66" s="164"/>
      <c r="CM66" s="72"/>
      <c r="CN66" s="72"/>
      <c r="CO66" s="72"/>
      <c r="CP66" s="72"/>
      <c r="CQ66" s="72"/>
      <c r="CR66" s="72"/>
      <c r="CS66" s="72"/>
      <c r="CT66" s="72"/>
      <c r="CU66" s="72"/>
      <c r="CV66" s="72"/>
      <c r="CW66" s="161"/>
      <c r="CX66" s="161"/>
      <c r="CY66" s="161"/>
      <c r="CZ66" s="161"/>
      <c r="DA66" s="161"/>
      <c r="DB66" s="161"/>
      <c r="DC66" s="161"/>
      <c r="DD66" s="161"/>
    </row>
    <row r="67" spans="2:144" ht="24" hidden="1" thickBot="1" x14ac:dyDescent="0.3">
      <c r="B67" s="302"/>
      <c r="C67" s="302"/>
      <c r="D67" s="300"/>
      <c r="E67" s="300"/>
      <c r="F67" s="300"/>
      <c r="G67" s="797"/>
      <c r="H67"/>
      <c r="I67"/>
      <c r="J67"/>
      <c r="K67"/>
      <c r="L67"/>
      <c r="M67"/>
      <c r="N67"/>
      <c r="O67" s="794"/>
      <c r="U67" s="97"/>
      <c r="AB67" s="97"/>
      <c r="AC67" s="97"/>
      <c r="AD67" s="97"/>
      <c r="AE67" s="97"/>
      <c r="BE67" s="119"/>
      <c r="BF67" s="119"/>
      <c r="BG67" s="119"/>
      <c r="BH67" s="119"/>
      <c r="BN67" s="69"/>
      <c r="BO67" s="10"/>
      <c r="BP67" s="160"/>
      <c r="BQ67" s="161"/>
      <c r="BR67" s="161"/>
      <c r="BS67" s="161"/>
      <c r="BT67" s="161"/>
      <c r="BU67" s="161"/>
      <c r="BV67" s="161"/>
      <c r="BW67" s="161"/>
      <c r="BX67" s="161"/>
      <c r="BY67" s="162"/>
      <c r="BZ67" s="162"/>
      <c r="CA67" s="165">
        <v>16</v>
      </c>
      <c r="CB67" s="163"/>
      <c r="CC67" s="163"/>
      <c r="CD67" s="163"/>
      <c r="CE67" s="163"/>
      <c r="CF67" s="163"/>
      <c r="CG67" s="163"/>
      <c r="CH67" s="163"/>
      <c r="CI67" s="26"/>
      <c r="CJ67" s="72"/>
      <c r="CK67" s="164"/>
      <c r="CL67" s="164"/>
      <c r="CM67" s="72"/>
      <c r="CN67" s="72"/>
      <c r="CO67" s="72"/>
      <c r="CP67" s="100" t="b">
        <f>IF(CQ85=27,15)</f>
        <v>0</v>
      </c>
      <c r="CQ67" s="166"/>
      <c r="CR67" s="86" t="b">
        <f>IF(CQ85=27,17)</f>
        <v>0</v>
      </c>
      <c r="CS67" s="72"/>
      <c r="CT67" s="72"/>
      <c r="CU67" s="72"/>
      <c r="CV67" s="72"/>
      <c r="CW67" s="161"/>
      <c r="CX67" s="161"/>
      <c r="CY67" s="161"/>
      <c r="CZ67" s="161"/>
      <c r="DA67" s="161"/>
      <c r="DB67" s="161"/>
      <c r="DC67" s="161"/>
      <c r="DD67" s="161"/>
      <c r="DG67" s="1105"/>
      <c r="DH67" s="1105"/>
      <c r="DI67" s="60"/>
      <c r="DJ67" s="60"/>
      <c r="DK67" s="61"/>
      <c r="DL67" s="62"/>
      <c r="DM67" s="62"/>
      <c r="DN67" s="62"/>
      <c r="DO67" s="62"/>
      <c r="DP67" s="62"/>
      <c r="DQ67" s="62"/>
      <c r="DR67" s="62"/>
      <c r="DS67" s="62"/>
      <c r="DT67" s="62"/>
      <c r="DU67" s="62"/>
      <c r="DV67" s="62"/>
      <c r="DW67" s="62"/>
      <c r="DX67" s="62"/>
      <c r="DY67" s="62"/>
      <c r="DZ67" s="62"/>
      <c r="EA67" s="62"/>
      <c r="EB67" s="62"/>
      <c r="EC67" s="62"/>
      <c r="ED67" s="62"/>
      <c r="EE67" s="62"/>
      <c r="EF67" s="62"/>
      <c r="EG67" s="62"/>
      <c r="EH67" s="62"/>
      <c r="EI67" s="62"/>
      <c r="EJ67" s="62"/>
      <c r="EK67" s="62"/>
      <c r="EL67" s="62"/>
      <c r="EM67" s="58"/>
      <c r="EN67" s="58"/>
    </row>
    <row r="68" spans="2:144" ht="24" hidden="1" thickBot="1" x14ac:dyDescent="0.3">
      <c r="B68" s="48"/>
      <c r="C68" s="302"/>
      <c r="E68" s="48"/>
      <c r="G68" s="797"/>
      <c r="H68"/>
      <c r="I68"/>
      <c r="J68"/>
      <c r="K68"/>
      <c r="L68"/>
      <c r="M68"/>
      <c r="N68"/>
      <c r="O68" s="794"/>
      <c r="U68" s="97"/>
      <c r="AB68" s="97"/>
      <c r="AC68" s="97"/>
      <c r="AD68" s="97"/>
      <c r="AE68" s="97"/>
      <c r="BE68" s="119"/>
      <c r="BF68" s="119"/>
      <c r="BG68" s="119"/>
      <c r="BH68" s="119"/>
      <c r="BN68" s="69"/>
      <c r="BO68" s="10"/>
      <c r="BP68" s="160"/>
      <c r="BQ68" s="161"/>
      <c r="BR68" s="161"/>
      <c r="BS68" s="161"/>
      <c r="BT68" s="161"/>
      <c r="BU68" s="161"/>
      <c r="BV68" s="161"/>
      <c r="BW68" s="161"/>
      <c r="BX68" s="161"/>
      <c r="BY68" s="162"/>
      <c r="BZ68" s="162"/>
      <c r="CA68" s="165">
        <v>15</v>
      </c>
      <c r="CB68" s="163"/>
      <c r="CC68" s="163"/>
      <c r="CD68" s="163"/>
      <c r="CE68" s="163"/>
      <c r="CF68" s="163"/>
      <c r="CG68" s="163"/>
      <c r="CH68" s="163"/>
      <c r="CI68" s="26"/>
      <c r="CJ68" s="72"/>
      <c r="CK68" s="164"/>
      <c r="CL68" s="164"/>
      <c r="CM68" s="72"/>
      <c r="CN68" s="100" t="b">
        <f>IF(CP85=26,13)</f>
        <v>0</v>
      </c>
      <c r="CO68" s="166"/>
      <c r="CP68" s="166"/>
      <c r="CQ68" s="166"/>
      <c r="CR68" s="86" t="b">
        <f>IF(CP85=26,17)</f>
        <v>0</v>
      </c>
      <c r="CS68" s="72"/>
      <c r="CT68" s="72"/>
      <c r="CU68" s="72"/>
      <c r="CV68" s="72"/>
      <c r="CW68" s="161"/>
      <c r="CX68" s="161"/>
      <c r="CY68" s="161"/>
      <c r="CZ68" s="161"/>
      <c r="DA68" s="161"/>
      <c r="DB68" s="161"/>
      <c r="DC68" s="161"/>
      <c r="DD68" s="161"/>
      <c r="EK68" s="62"/>
      <c r="EL68" s="62"/>
    </row>
    <row r="69" spans="2:144" ht="31" hidden="1" thickBot="1" x14ac:dyDescent="0.35">
      <c r="B69" s="51"/>
      <c r="C69" s="302"/>
      <c r="E69" s="52"/>
      <c r="G69" s="797"/>
      <c r="H69"/>
      <c r="I69"/>
      <c r="J69"/>
      <c r="K69"/>
      <c r="L69"/>
      <c r="M69"/>
      <c r="N69"/>
      <c r="O69" s="794"/>
      <c r="U69" s="97"/>
      <c r="AB69" s="97"/>
      <c r="AC69" s="97"/>
      <c r="AD69" s="97"/>
      <c r="AE69" s="97"/>
      <c r="BE69" s="119"/>
      <c r="BF69" s="119"/>
      <c r="BG69" s="119"/>
      <c r="BH69" s="119"/>
      <c r="BN69" s="69"/>
      <c r="BO69" s="10"/>
      <c r="BP69" s="160"/>
      <c r="BQ69" s="161"/>
      <c r="BR69" s="161"/>
      <c r="BS69" s="161"/>
      <c r="BT69" s="161"/>
      <c r="BU69" s="161"/>
      <c r="BV69" s="161"/>
      <c r="BW69" s="161"/>
      <c r="BX69" s="161"/>
      <c r="BY69" s="162"/>
      <c r="BZ69" s="162"/>
      <c r="CA69" s="165">
        <v>14</v>
      </c>
      <c r="CB69" s="163"/>
      <c r="CC69" s="163"/>
      <c r="CD69" s="163"/>
      <c r="CE69" s="163"/>
      <c r="CF69" s="163"/>
      <c r="CG69" s="163"/>
      <c r="CH69" s="163"/>
      <c r="CI69" s="26"/>
      <c r="CJ69" s="72"/>
      <c r="CK69" s="164"/>
      <c r="CL69" s="100" t="b">
        <f>IF(CO85=25,11)</f>
        <v>0</v>
      </c>
      <c r="CM69" s="166"/>
      <c r="CN69" s="167"/>
      <c r="CO69" s="167"/>
      <c r="CP69" s="167"/>
      <c r="CQ69" s="167"/>
      <c r="CR69" s="107" t="b">
        <f>IF(CO85=25,17)</f>
        <v>0</v>
      </c>
      <c r="CS69" s="72"/>
      <c r="CT69" s="72"/>
      <c r="CU69" s="72"/>
      <c r="CV69" s="72"/>
      <c r="CW69" s="161"/>
      <c r="CX69" s="161"/>
      <c r="CY69" s="161"/>
      <c r="CZ69" s="161"/>
      <c r="DA69" s="161"/>
      <c r="DB69" s="161"/>
      <c r="DC69" s="161"/>
      <c r="DD69" s="161"/>
      <c r="EK69" s="62"/>
      <c r="EL69" s="62"/>
    </row>
    <row r="70" spans="2:144" ht="21" hidden="1" thickBot="1" x14ac:dyDescent="0.25">
      <c r="B70" s="386"/>
      <c r="C70" s="386"/>
      <c r="D70" s="386"/>
      <c r="E70" s="386"/>
      <c r="G70" s="797"/>
      <c r="H70"/>
      <c r="I70"/>
      <c r="J70"/>
      <c r="K70"/>
      <c r="L70"/>
      <c r="M70"/>
      <c r="N70"/>
      <c r="O70" s="794"/>
      <c r="U70" s="97"/>
      <c r="AB70" s="97"/>
      <c r="AC70" s="97"/>
      <c r="AD70" s="97"/>
      <c r="AE70" s="97"/>
      <c r="BE70" s="119"/>
      <c r="BF70" s="119"/>
      <c r="BG70" s="119"/>
      <c r="BH70" s="119"/>
      <c r="BN70" s="69"/>
      <c r="BO70" s="863"/>
      <c r="BP70" s="160"/>
      <c r="BQ70" s="161"/>
      <c r="BR70" s="161"/>
      <c r="BS70" s="161"/>
      <c r="BT70" s="161"/>
      <c r="BU70" s="161"/>
      <c r="BV70" s="161"/>
      <c r="BW70" s="161"/>
      <c r="BX70" s="161"/>
      <c r="CA70" s="165">
        <v>13</v>
      </c>
      <c r="CB70" s="161"/>
      <c r="CC70" s="160"/>
      <c r="CD70" s="160"/>
      <c r="CE70" s="160"/>
      <c r="CF70" s="160"/>
      <c r="CG70" s="160"/>
      <c r="CH70" s="160"/>
      <c r="CI70" s="160"/>
      <c r="CJ70" s="100" t="b">
        <f>IF(CN85=24,9)</f>
        <v>0</v>
      </c>
      <c r="CK70" s="168"/>
      <c r="CL70" s="169"/>
      <c r="CM70" s="105"/>
      <c r="CN70" s="169"/>
      <c r="CO70" s="105"/>
      <c r="CP70" s="105"/>
      <c r="CQ70" s="104"/>
      <c r="CR70" s="107" t="b">
        <f>IF(CN85=24,17)</f>
        <v>0</v>
      </c>
      <c r="CS70" s="62"/>
      <c r="CT70" s="62"/>
      <c r="CU70" s="62"/>
      <c r="CV70" s="62"/>
      <c r="CW70" s="62"/>
      <c r="CX70" s="62"/>
      <c r="CY70" s="62"/>
      <c r="CZ70" s="62"/>
      <c r="DA70" s="62"/>
      <c r="DB70" s="62"/>
      <c r="DC70" s="62"/>
      <c r="DD70" s="62"/>
      <c r="EK70" s="62"/>
      <c r="EL70" s="62"/>
    </row>
    <row r="71" spans="2:144" ht="21" hidden="1" thickBot="1" x14ac:dyDescent="0.25">
      <c r="B71" s="387"/>
      <c r="C71" s="388"/>
      <c r="D71" s="387"/>
      <c r="E71" s="387"/>
      <c r="G71" s="797"/>
      <c r="H71"/>
      <c r="I71"/>
      <c r="J71"/>
      <c r="K71"/>
      <c r="L71"/>
      <c r="M71"/>
      <c r="N71"/>
      <c r="O71" s="794"/>
      <c r="U71" s="97"/>
      <c r="AB71" s="97"/>
      <c r="AC71" s="97"/>
      <c r="AD71" s="97"/>
      <c r="AE71" s="97"/>
      <c r="BE71" s="119"/>
      <c r="BF71" s="119"/>
      <c r="BG71" s="119"/>
      <c r="BH71" s="119"/>
      <c r="BN71" s="69"/>
      <c r="BO71" s="863"/>
      <c r="BP71" s="160"/>
      <c r="BQ71" s="160"/>
      <c r="BR71" s="161"/>
      <c r="BS71" s="160"/>
      <c r="BT71" s="160"/>
      <c r="BU71" s="160"/>
      <c r="CA71" s="165">
        <v>12</v>
      </c>
      <c r="CB71" s="161"/>
      <c r="CC71" s="160"/>
      <c r="CD71" s="160"/>
      <c r="CE71" s="160"/>
      <c r="CF71" s="160"/>
      <c r="CG71" s="160"/>
      <c r="CH71" s="100" t="b">
        <f>IF(CM85=23,7)</f>
        <v>0</v>
      </c>
      <c r="CI71" s="168"/>
      <c r="CJ71" s="168"/>
      <c r="CK71" s="101"/>
      <c r="CL71" s="168"/>
      <c r="CM71" s="168"/>
      <c r="CN71" s="168"/>
      <c r="CO71" s="101"/>
      <c r="CP71" s="101"/>
      <c r="CQ71" s="94"/>
      <c r="CR71" s="86" t="b">
        <f>IF(CM85=23,17)</f>
        <v>0</v>
      </c>
      <c r="CS71" s="62"/>
      <c r="CT71" s="62"/>
      <c r="CU71" s="62"/>
      <c r="CV71" s="62"/>
      <c r="CW71" s="62"/>
      <c r="CX71" s="62"/>
      <c r="CY71" s="62"/>
      <c r="CZ71" s="62"/>
      <c r="DA71" s="62"/>
      <c r="DB71" s="62"/>
      <c r="DC71" s="62"/>
      <c r="DD71" s="62"/>
      <c r="EK71" s="62"/>
      <c r="EL71" s="62"/>
    </row>
    <row r="72" spans="2:144" ht="21" hidden="1" thickBot="1" x14ac:dyDescent="0.25">
      <c r="B72" s="302"/>
      <c r="C72" s="302"/>
      <c r="G72" s="797"/>
      <c r="H72"/>
      <c r="I72"/>
      <c r="J72"/>
      <c r="K72"/>
      <c r="L72"/>
      <c r="M72"/>
      <c r="N72"/>
      <c r="O72" s="794"/>
      <c r="U72" s="97"/>
      <c r="AB72" s="97"/>
      <c r="AC72" s="97"/>
      <c r="AD72" s="97"/>
      <c r="AE72" s="97"/>
      <c r="BE72" s="119"/>
      <c r="BF72" s="119"/>
      <c r="BG72" s="119"/>
      <c r="BH72" s="119"/>
      <c r="BN72" s="69"/>
      <c r="BO72" s="863"/>
      <c r="BP72" s="160"/>
      <c r="BQ72" s="160"/>
      <c r="BR72" s="161"/>
      <c r="BS72" s="160"/>
      <c r="BT72" s="160"/>
      <c r="BU72" s="160"/>
      <c r="CA72" s="165">
        <v>11</v>
      </c>
      <c r="CB72" s="161"/>
      <c r="CC72" s="160"/>
      <c r="CD72" s="160"/>
      <c r="CE72" s="160"/>
      <c r="CF72" s="100" t="b">
        <f>IF(CL85=22,5)</f>
        <v>0</v>
      </c>
      <c r="CG72" s="168"/>
      <c r="CH72" s="168"/>
      <c r="CI72" s="101"/>
      <c r="CJ72" s="168"/>
      <c r="CK72" s="101"/>
      <c r="CL72" s="168"/>
      <c r="CM72" s="101"/>
      <c r="CN72" s="168"/>
      <c r="CO72" s="101"/>
      <c r="CP72" s="101"/>
      <c r="CQ72" s="94"/>
      <c r="CR72" s="86" t="b">
        <f>IF(CL85=22,17)</f>
        <v>0</v>
      </c>
      <c r="CS72" s="62"/>
      <c r="CT72" s="62"/>
      <c r="CU72" s="62"/>
      <c r="CV72" s="62"/>
      <c r="CW72" s="62"/>
      <c r="CX72" s="62"/>
      <c r="CY72" s="62"/>
      <c r="CZ72" s="62"/>
      <c r="DA72" s="62"/>
      <c r="DB72" s="62"/>
      <c r="DC72" s="62"/>
      <c r="DD72" s="62"/>
      <c r="DG72" s="90"/>
      <c r="DH72" s="90"/>
      <c r="DI72" s="90"/>
      <c r="DJ72" s="90"/>
      <c r="DK72" s="90"/>
      <c r="DL72" s="91"/>
      <c r="DM72" s="90"/>
      <c r="DN72" s="90"/>
      <c r="DO72" s="90"/>
      <c r="DP72" s="90"/>
      <c r="DQ72" s="90"/>
      <c r="DR72" s="90"/>
      <c r="DS72" s="90"/>
      <c r="DT72" s="90"/>
      <c r="DU72" s="90"/>
      <c r="DV72" s="90"/>
      <c r="DW72" s="90"/>
      <c r="DX72" s="90"/>
      <c r="DY72" s="90"/>
      <c r="DZ72" s="90"/>
      <c r="EA72" s="90"/>
      <c r="EB72" s="90"/>
      <c r="EC72" s="90"/>
      <c r="ED72" s="91"/>
      <c r="EE72" s="62"/>
      <c r="EF72" s="62"/>
      <c r="EG72" s="62"/>
      <c r="EH72" s="62"/>
      <c r="EI72" s="62"/>
      <c r="EJ72" s="62"/>
      <c r="EK72" s="62"/>
      <c r="EL72" s="62"/>
    </row>
    <row r="73" spans="2:144" ht="21" hidden="1" thickBot="1" x14ac:dyDescent="0.25">
      <c r="B73" s="389"/>
      <c r="C73" s="302"/>
      <c r="D73" s="390"/>
      <c r="E73" s="391"/>
      <c r="F73" s="300"/>
      <c r="G73" s="797"/>
      <c r="H73"/>
      <c r="I73"/>
      <c r="J73"/>
      <c r="K73"/>
      <c r="L73"/>
      <c r="M73"/>
      <c r="N73"/>
      <c r="O73" s="794"/>
      <c r="U73" s="97"/>
      <c r="AB73" s="97"/>
      <c r="AC73" s="97"/>
      <c r="AD73" s="97"/>
      <c r="AE73" s="97"/>
      <c r="BE73" s="119"/>
      <c r="BF73" s="119"/>
      <c r="BG73" s="119"/>
      <c r="BH73" s="119"/>
      <c r="BN73" s="69"/>
      <c r="BO73" s="863"/>
      <c r="BP73" s="160"/>
      <c r="BQ73" s="160"/>
      <c r="BR73" s="161"/>
      <c r="BS73" s="160"/>
      <c r="BT73" s="160"/>
      <c r="BU73" s="160"/>
      <c r="CA73" s="165">
        <v>10</v>
      </c>
      <c r="CB73" s="161"/>
      <c r="CC73" s="160"/>
      <c r="CD73" s="100" t="b">
        <f>IF(CK85=21,3)</f>
        <v>0</v>
      </c>
      <c r="CE73" s="168"/>
      <c r="CF73" s="168"/>
      <c r="CG73" s="101"/>
      <c r="CH73" s="101"/>
      <c r="CI73" s="101"/>
      <c r="CJ73" s="168"/>
      <c r="CK73" s="168"/>
      <c r="CL73" s="168"/>
      <c r="CM73" s="101"/>
      <c r="CN73" s="168"/>
      <c r="CO73" s="101"/>
      <c r="CP73" s="101"/>
      <c r="CQ73" s="94"/>
      <c r="CR73" s="86" t="b">
        <f>IF(CK85=21,17)</f>
        <v>0</v>
      </c>
      <c r="CS73" s="62"/>
      <c r="CT73" s="62"/>
      <c r="CU73" s="62"/>
      <c r="CV73" s="62"/>
      <c r="CW73" s="62"/>
      <c r="CX73" s="62"/>
      <c r="CY73" s="62"/>
      <c r="CZ73" s="62"/>
      <c r="DA73" s="62"/>
      <c r="DB73" s="62"/>
      <c r="DC73" s="62"/>
      <c r="DD73" s="62"/>
      <c r="DG73" s="90"/>
      <c r="DH73" s="90"/>
      <c r="DI73" s="90"/>
      <c r="DJ73" s="90"/>
      <c r="DK73" s="90"/>
      <c r="DL73" s="91"/>
      <c r="DM73" s="90"/>
      <c r="DN73" s="90"/>
      <c r="DO73" s="90"/>
      <c r="DP73" s="90"/>
      <c r="DQ73" s="90"/>
      <c r="DR73" s="90"/>
      <c r="DS73" s="90"/>
      <c r="DT73" s="90"/>
      <c r="DU73" s="90"/>
      <c r="DV73" s="90"/>
      <c r="DW73" s="90"/>
      <c r="DX73" s="90"/>
      <c r="DY73" s="90"/>
      <c r="DZ73" s="90"/>
      <c r="EA73" s="90"/>
      <c r="EB73" s="90"/>
      <c r="EC73" s="90"/>
      <c r="ED73" s="91"/>
      <c r="EE73" s="62"/>
      <c r="EF73" s="62"/>
      <c r="EG73" s="62"/>
      <c r="EH73" s="62"/>
      <c r="EI73" s="62"/>
      <c r="EJ73" s="62"/>
      <c r="EK73" s="62"/>
      <c r="EL73" s="62"/>
    </row>
    <row r="74" spans="2:144" ht="21" hidden="1" thickBot="1" x14ac:dyDescent="0.25">
      <c r="B74" s="387"/>
      <c r="C74" s="302"/>
      <c r="D74" s="387"/>
      <c r="E74" s="13"/>
      <c r="F74" s="300"/>
      <c r="G74" s="797"/>
      <c r="H74"/>
      <c r="I74"/>
      <c r="J74"/>
      <c r="K74"/>
      <c r="L74"/>
      <c r="M74"/>
      <c r="N74"/>
      <c r="O74" s="794"/>
      <c r="U74" s="97"/>
      <c r="AB74" s="97"/>
      <c r="AC74" s="97"/>
      <c r="AD74" s="97"/>
      <c r="AE74" s="97"/>
      <c r="BE74" s="119"/>
      <c r="BF74" s="119"/>
      <c r="BG74" s="119"/>
      <c r="BH74" s="119"/>
      <c r="BN74" s="69"/>
      <c r="BO74" s="863"/>
      <c r="BP74" s="160"/>
      <c r="BQ74" s="160"/>
      <c r="BR74" s="161"/>
      <c r="BS74" s="160"/>
      <c r="BT74" s="160"/>
      <c r="BU74" s="160"/>
      <c r="CA74" s="165">
        <v>9</v>
      </c>
      <c r="CB74" s="100" t="b">
        <f>IF(CJ85=20,1)</f>
        <v>0</v>
      </c>
      <c r="CC74" s="168"/>
      <c r="CD74" s="168"/>
      <c r="CE74" s="101"/>
      <c r="CF74" s="168"/>
      <c r="CG74" s="168"/>
      <c r="CH74" s="168"/>
      <c r="CI74" s="168"/>
      <c r="CJ74" s="168"/>
      <c r="CK74" s="168"/>
      <c r="CL74" s="168"/>
      <c r="CM74" s="168"/>
      <c r="CN74" s="168"/>
      <c r="CO74" s="101"/>
      <c r="CP74" s="101"/>
      <c r="CQ74" s="94"/>
      <c r="CR74" s="86" t="b">
        <f>IF(CJ85=20,17)</f>
        <v>0</v>
      </c>
      <c r="CS74" s="62"/>
      <c r="CT74" s="62"/>
      <c r="CU74" s="62"/>
      <c r="CV74" s="62"/>
      <c r="CW74" s="62"/>
      <c r="CX74" s="62"/>
      <c r="CY74" s="62"/>
      <c r="CZ74" s="62"/>
      <c r="DA74" s="62"/>
      <c r="DB74" s="62"/>
      <c r="DC74" s="62"/>
      <c r="DD74" s="62"/>
      <c r="EK74" s="62"/>
      <c r="EL74" s="62"/>
    </row>
    <row r="75" spans="2:144" ht="21" hidden="1" thickBot="1" x14ac:dyDescent="0.25">
      <c r="B75" s="302"/>
      <c r="C75" s="302"/>
      <c r="F75" s="300"/>
      <c r="G75" s="797"/>
      <c r="H75"/>
      <c r="I75"/>
      <c r="J75"/>
      <c r="K75"/>
      <c r="L75"/>
      <c r="M75"/>
      <c r="N75"/>
      <c r="O75" s="794"/>
      <c r="U75" s="97"/>
      <c r="AB75" s="97"/>
      <c r="AC75" s="97"/>
      <c r="AD75" s="97"/>
      <c r="AE75" s="97"/>
      <c r="BE75" s="119"/>
      <c r="BF75" s="119"/>
      <c r="BG75" s="119"/>
      <c r="BH75" s="119"/>
      <c r="BN75" s="69"/>
      <c r="BO75" s="863"/>
      <c r="BP75" s="160"/>
      <c r="BQ75" s="160"/>
      <c r="BR75" s="161"/>
      <c r="BS75" s="160"/>
      <c r="BT75" s="160"/>
      <c r="BU75" s="160"/>
      <c r="CA75" s="165">
        <v>8</v>
      </c>
      <c r="CB75" s="103" t="b">
        <f>IF(CI85=19,1)</f>
        <v>0</v>
      </c>
      <c r="CC75" s="105"/>
      <c r="CD75" s="169"/>
      <c r="CE75" s="169"/>
      <c r="CF75" s="169"/>
      <c r="CG75" s="169"/>
      <c r="CH75" s="169"/>
      <c r="CI75" s="169"/>
      <c r="CJ75" s="169"/>
      <c r="CK75" s="169"/>
      <c r="CL75" s="169"/>
      <c r="CM75" s="169"/>
      <c r="CN75" s="169"/>
      <c r="CO75" s="105"/>
      <c r="CP75" s="107" t="b">
        <f>IF(CI85=19,15)</f>
        <v>0</v>
      </c>
      <c r="CQ75" s="62"/>
      <c r="CR75" s="62"/>
      <c r="CS75" s="62"/>
      <c r="CT75" s="62"/>
      <c r="CU75" s="62"/>
      <c r="CV75" s="62"/>
      <c r="CW75" s="62"/>
      <c r="CX75" s="62"/>
      <c r="CY75" s="62"/>
      <c r="CZ75" s="62"/>
      <c r="DA75" s="62"/>
      <c r="DB75" s="62"/>
      <c r="DC75" s="62"/>
      <c r="DD75" s="62"/>
      <c r="EK75" s="62"/>
      <c r="EL75" s="62"/>
    </row>
    <row r="76" spans="2:144" ht="21" hidden="1" thickBot="1" x14ac:dyDescent="0.25">
      <c r="B76" s="302"/>
      <c r="C76" s="302"/>
      <c r="G76" s="797"/>
      <c r="H76"/>
      <c r="I76"/>
      <c r="J76"/>
      <c r="K76"/>
      <c r="L76"/>
      <c r="M76"/>
      <c r="N76"/>
      <c r="O76" s="794"/>
      <c r="U76" s="97"/>
      <c r="AB76" s="97"/>
      <c r="AC76" s="97"/>
      <c r="AD76" s="97"/>
      <c r="AE76" s="97"/>
      <c r="BE76" s="119"/>
      <c r="BF76" s="119"/>
      <c r="BG76" s="119"/>
      <c r="BH76" s="119"/>
      <c r="BN76" s="69"/>
      <c r="BO76" s="863"/>
      <c r="BP76" s="160"/>
      <c r="BQ76" s="160"/>
      <c r="BR76" s="161"/>
      <c r="BS76" s="160"/>
      <c r="BT76" s="160"/>
      <c r="BU76" s="160"/>
      <c r="CA76" s="165">
        <v>7</v>
      </c>
      <c r="CB76" s="103" t="b">
        <f>IF(CH85=18,1)</f>
        <v>0</v>
      </c>
      <c r="CC76" s="169"/>
      <c r="CD76" s="169"/>
      <c r="CE76" s="169"/>
      <c r="CF76" s="169"/>
      <c r="CG76" s="169"/>
      <c r="CH76" s="169"/>
      <c r="CI76" s="169"/>
      <c r="CJ76" s="169"/>
      <c r="CK76" s="169"/>
      <c r="CL76" s="169"/>
      <c r="CM76" s="169"/>
      <c r="CN76" s="107" t="b">
        <f>IF(CH85=18,13)</f>
        <v>0</v>
      </c>
      <c r="CO76" s="161"/>
      <c r="CQ76" s="62"/>
      <c r="CR76" s="62"/>
      <c r="CS76" s="62"/>
      <c r="CT76" s="62"/>
      <c r="CU76" s="62"/>
      <c r="CV76" s="62"/>
      <c r="CW76" s="62"/>
      <c r="CX76" s="62"/>
      <c r="CY76" s="62"/>
      <c r="CZ76" s="62"/>
      <c r="DA76" s="62"/>
      <c r="DB76" s="62"/>
      <c r="DC76" s="62"/>
      <c r="DD76" s="62"/>
      <c r="EK76" s="62"/>
      <c r="EL76" s="62"/>
    </row>
    <row r="77" spans="2:144" ht="21" hidden="1" thickBot="1" x14ac:dyDescent="0.25">
      <c r="G77" s="797"/>
      <c r="H77"/>
      <c r="I77"/>
      <c r="J77"/>
      <c r="K77"/>
      <c r="L77"/>
      <c r="M77"/>
      <c r="N77"/>
      <c r="O77" s="794"/>
      <c r="U77" s="97"/>
      <c r="AB77" s="97"/>
      <c r="AC77" s="97"/>
      <c r="AD77" s="97"/>
      <c r="AE77" s="97"/>
      <c r="BE77" s="119"/>
      <c r="BF77" s="119"/>
      <c r="BG77" s="119"/>
      <c r="BH77" s="119"/>
      <c r="BN77" s="69"/>
      <c r="BO77" s="863"/>
      <c r="BP77" s="160"/>
      <c r="BQ77" s="160"/>
      <c r="BR77" s="161"/>
      <c r="BS77" s="160"/>
      <c r="BT77" s="160"/>
      <c r="BU77" s="160"/>
      <c r="CA77" s="165">
        <v>6</v>
      </c>
      <c r="CB77" s="103">
        <f>IF(CG85=17,1)</f>
        <v>1</v>
      </c>
      <c r="CC77" s="169"/>
      <c r="CD77" s="169"/>
      <c r="CE77" s="169"/>
      <c r="CF77" s="169"/>
      <c r="CG77" s="169"/>
      <c r="CH77" s="169"/>
      <c r="CI77" s="169"/>
      <c r="CJ77" s="169"/>
      <c r="CK77" s="169"/>
      <c r="CL77" s="107">
        <f>IF(CG85=17,11)</f>
        <v>11</v>
      </c>
      <c r="CM77" s="160"/>
      <c r="CN77" s="160"/>
      <c r="CO77" s="161"/>
      <c r="CQ77" s="62"/>
      <c r="CR77" s="62"/>
      <c r="CS77" s="62"/>
      <c r="CT77" s="62"/>
      <c r="CU77" s="62"/>
      <c r="CV77" s="62"/>
      <c r="CW77" s="62"/>
      <c r="CX77" s="62"/>
      <c r="CY77" s="62"/>
      <c r="CZ77" s="62"/>
      <c r="DA77" s="62"/>
      <c r="DB77" s="62"/>
      <c r="DC77" s="62"/>
      <c r="DD77" s="62"/>
      <c r="EK77" s="62"/>
      <c r="EL77" s="62"/>
    </row>
    <row r="78" spans="2:144" ht="21" hidden="1" thickBot="1" x14ac:dyDescent="0.25">
      <c r="G78" s="797"/>
      <c r="H78"/>
      <c r="I78"/>
      <c r="J78"/>
      <c r="K78"/>
      <c r="L78"/>
      <c r="M78"/>
      <c r="N78"/>
      <c r="O78" s="794"/>
      <c r="U78" s="97"/>
      <c r="AB78" s="97"/>
      <c r="AC78" s="97"/>
      <c r="AD78" s="97"/>
      <c r="AE78" s="97"/>
      <c r="BE78" s="119"/>
      <c r="BF78" s="119"/>
      <c r="BG78" s="119"/>
      <c r="BH78" s="119"/>
      <c r="BN78" s="69"/>
      <c r="BO78" s="863"/>
      <c r="BP78" s="160"/>
      <c r="BQ78" s="160"/>
      <c r="BR78" s="161"/>
      <c r="BS78" s="160"/>
      <c r="BT78" s="160"/>
      <c r="BU78" s="160"/>
      <c r="CA78" s="165">
        <v>5</v>
      </c>
      <c r="CB78" s="100" t="b">
        <f>IF(CF85=16,1)</f>
        <v>0</v>
      </c>
      <c r="CC78" s="168"/>
      <c r="CD78" s="168"/>
      <c r="CE78" s="101"/>
      <c r="CF78" s="168"/>
      <c r="CG78" s="101"/>
      <c r="CH78" s="168"/>
      <c r="CI78" s="168"/>
      <c r="CJ78" s="86" t="b">
        <f>IF(CF85=16,9)</f>
        <v>0</v>
      </c>
      <c r="CK78" s="160"/>
      <c r="CL78" s="160"/>
      <c r="CM78" s="160"/>
      <c r="CN78" s="160"/>
      <c r="CO78" s="161"/>
      <c r="CQ78" s="62"/>
      <c r="CR78" s="62"/>
      <c r="CS78" s="62"/>
      <c r="CT78" s="62"/>
      <c r="CU78" s="62"/>
      <c r="CV78" s="62"/>
      <c r="CW78" s="62"/>
      <c r="CX78" s="62"/>
      <c r="CY78" s="62"/>
      <c r="CZ78" s="62"/>
      <c r="DA78" s="62"/>
      <c r="DB78" s="62"/>
      <c r="DC78" s="62"/>
      <c r="DD78" s="62"/>
      <c r="EK78" s="62"/>
      <c r="EL78" s="62"/>
    </row>
    <row r="79" spans="2:144" ht="21" hidden="1" thickBot="1" x14ac:dyDescent="0.25">
      <c r="B79" s="309"/>
      <c r="C79" s="309"/>
      <c r="D79" s="310"/>
      <c r="E79" s="310"/>
      <c r="F79" s="310"/>
      <c r="G79" s="807"/>
      <c r="H79"/>
      <c r="I79"/>
      <c r="J79"/>
      <c r="K79"/>
      <c r="L79"/>
      <c r="M79"/>
      <c r="N79"/>
      <c r="O79" s="794"/>
      <c r="BD79" s="109"/>
      <c r="BE79" s="119"/>
      <c r="BF79" s="119"/>
      <c r="BG79" s="119"/>
      <c r="BH79" s="119"/>
      <c r="BN79" s="69"/>
      <c r="BO79" s="863"/>
      <c r="BP79" s="160"/>
      <c r="BQ79" s="160"/>
      <c r="BR79" s="161"/>
      <c r="BS79" s="160"/>
      <c r="BT79" s="160"/>
      <c r="BU79" s="160"/>
      <c r="CA79" s="165">
        <v>4</v>
      </c>
      <c r="CB79" s="100" t="b">
        <f>IF(CE85=15,1)</f>
        <v>0</v>
      </c>
      <c r="CC79" s="101"/>
      <c r="CD79" s="101"/>
      <c r="CE79" s="168"/>
      <c r="CF79" s="101"/>
      <c r="CG79" s="101"/>
      <c r="CH79" s="86" t="b">
        <f>IF(CE85=15,7)</f>
        <v>0</v>
      </c>
      <c r="CI79" s="160"/>
      <c r="CJ79" s="160"/>
      <c r="CK79" s="160"/>
      <c r="CL79" s="160"/>
      <c r="CM79" s="160"/>
      <c r="CN79" s="160"/>
      <c r="CO79" s="161"/>
      <c r="CQ79" s="62"/>
      <c r="CR79" s="62"/>
      <c r="CS79" s="62"/>
      <c r="CT79" s="62"/>
      <c r="CU79" s="62"/>
      <c r="CV79" s="62"/>
      <c r="CW79" s="62"/>
      <c r="CX79" s="62"/>
      <c r="CY79" s="62"/>
      <c r="CZ79" s="62"/>
      <c r="DA79" s="62"/>
      <c r="DB79" s="62"/>
      <c r="DC79" s="62"/>
      <c r="DD79" s="62"/>
      <c r="EK79" s="62"/>
      <c r="EL79" s="62"/>
    </row>
    <row r="80" spans="2:144" ht="21" hidden="1" thickBot="1" x14ac:dyDescent="0.25">
      <c r="G80" s="797"/>
      <c r="H80"/>
      <c r="I80"/>
      <c r="J80"/>
      <c r="K80"/>
      <c r="L80"/>
      <c r="M80"/>
      <c r="N80"/>
      <c r="O80" s="794"/>
      <c r="BD80" s="109"/>
      <c r="BE80" s="119"/>
      <c r="BF80" s="119"/>
      <c r="BG80" s="119"/>
      <c r="BH80" s="119"/>
      <c r="BN80" s="69"/>
      <c r="BO80" s="863"/>
      <c r="BP80" s="160"/>
      <c r="BQ80" s="160"/>
      <c r="BR80" s="161"/>
      <c r="BS80" s="160"/>
      <c r="BT80" s="160"/>
      <c r="BU80" s="160"/>
      <c r="CA80" s="165">
        <v>3</v>
      </c>
      <c r="CB80" s="103" t="b">
        <f>IF(CD85=14,1)</f>
        <v>0</v>
      </c>
      <c r="CC80" s="169"/>
      <c r="CD80" s="169"/>
      <c r="CE80" s="169"/>
      <c r="CF80" s="107" t="b">
        <f>IF(CD85=14,5)</f>
        <v>0</v>
      </c>
      <c r="CG80" s="160"/>
      <c r="CH80" s="160"/>
      <c r="CI80" s="160"/>
      <c r="CJ80" s="160"/>
      <c r="CK80" s="160"/>
      <c r="CL80" s="160"/>
      <c r="CM80" s="160"/>
      <c r="CN80" s="160"/>
      <c r="CO80" s="161"/>
      <c r="CQ80" s="62"/>
      <c r="CR80" s="62"/>
      <c r="CS80" s="62"/>
      <c r="CT80" s="62"/>
      <c r="CU80" s="62"/>
      <c r="CV80" s="62"/>
      <c r="CW80" s="62"/>
      <c r="CX80" s="62"/>
      <c r="CY80" s="62"/>
      <c r="CZ80" s="62"/>
      <c r="DA80" s="62"/>
      <c r="DB80" s="62"/>
      <c r="DC80" s="62"/>
      <c r="DD80" s="62"/>
      <c r="EK80" s="62"/>
      <c r="EL80" s="62"/>
    </row>
    <row r="81" spans="2:142" ht="21" hidden="1" thickBot="1" x14ac:dyDescent="0.25">
      <c r="B81"/>
      <c r="G81" s="797"/>
      <c r="H81"/>
      <c r="I81"/>
      <c r="J81"/>
      <c r="K81"/>
      <c r="L81"/>
      <c r="M81"/>
      <c r="N81"/>
      <c r="O81" s="794"/>
      <c r="BD81" s="109"/>
      <c r="BE81" s="119"/>
      <c r="BF81" s="119"/>
      <c r="BG81" s="119"/>
      <c r="BH81" s="119"/>
      <c r="BN81" s="69"/>
      <c r="BO81" s="863"/>
      <c r="BP81" s="160"/>
      <c r="BQ81" s="160"/>
      <c r="BR81" s="161"/>
      <c r="BS81" s="160"/>
      <c r="BT81" s="160"/>
      <c r="BU81" s="160"/>
      <c r="CA81" s="165">
        <v>2</v>
      </c>
      <c r="CB81" s="103" t="b">
        <f>IF(CC85=13,1)</f>
        <v>0</v>
      </c>
      <c r="CC81" s="169"/>
      <c r="CD81" s="107" t="b">
        <f>IF(CC85=13,3)</f>
        <v>0</v>
      </c>
      <c r="CE81" s="160"/>
      <c r="CF81" s="160"/>
      <c r="CG81" s="160"/>
      <c r="CH81" s="160"/>
      <c r="CI81" s="160"/>
      <c r="CJ81" s="160"/>
      <c r="CK81" s="160"/>
      <c r="CL81" s="160"/>
      <c r="CM81" s="160"/>
      <c r="CN81" s="160"/>
      <c r="CO81" s="161"/>
      <c r="CQ81" s="62"/>
      <c r="CR81" s="62"/>
      <c r="CS81" s="62"/>
      <c r="CT81" s="62"/>
      <c r="CU81" s="62"/>
      <c r="CV81" s="62"/>
      <c r="CW81" s="62"/>
      <c r="CX81" s="62"/>
      <c r="CY81" s="62"/>
      <c r="CZ81" s="62"/>
      <c r="DA81" s="62"/>
      <c r="DB81" s="62"/>
      <c r="DC81" s="62"/>
      <c r="DD81" s="62"/>
      <c r="EK81" s="62"/>
      <c r="EL81" s="62"/>
    </row>
    <row r="82" spans="2:142" ht="16" hidden="1" customHeight="1" thickBot="1" x14ac:dyDescent="0.25">
      <c r="B82" s="309"/>
      <c r="C82" s="309"/>
      <c r="D82" s="310"/>
      <c r="E82" s="310"/>
      <c r="F82" s="310"/>
      <c r="G82" s="797"/>
      <c r="H82"/>
      <c r="I82"/>
      <c r="J82"/>
      <c r="K82"/>
      <c r="L82"/>
      <c r="M82"/>
      <c r="N82"/>
      <c r="O82" s="794"/>
      <c r="BD82" s="109"/>
      <c r="BE82" s="119"/>
      <c r="BF82" s="119"/>
      <c r="BG82" s="119"/>
      <c r="BH82" s="119"/>
      <c r="BN82" s="69"/>
      <c r="BO82" s="863"/>
      <c r="BP82" s="160"/>
      <c r="BQ82" s="160"/>
      <c r="BR82" s="161"/>
      <c r="BS82" s="160"/>
      <c r="BT82" s="160"/>
      <c r="BU82" s="160"/>
      <c r="BV82" s="60"/>
      <c r="BW82" s="160"/>
      <c r="CA82" s="160"/>
      <c r="CB82" s="160"/>
      <c r="CC82" s="160"/>
      <c r="CD82" s="160"/>
      <c r="CE82" s="160"/>
      <c r="CF82" s="160"/>
      <c r="CG82" s="160"/>
      <c r="CH82" s="160"/>
      <c r="CI82" s="160"/>
      <c r="CJ82" s="160"/>
      <c r="CK82" s="160"/>
      <c r="CL82" s="161"/>
      <c r="CM82" s="90"/>
      <c r="CN82" s="90"/>
      <c r="CO82" s="90"/>
      <c r="CQ82" s="62"/>
      <c r="CR82" s="62"/>
      <c r="CS82" s="62"/>
      <c r="CT82" s="62"/>
      <c r="CU82" s="62"/>
      <c r="CV82" s="62"/>
      <c r="CW82" s="62"/>
      <c r="CX82" s="62"/>
      <c r="CY82" s="62"/>
      <c r="CZ82" s="62"/>
      <c r="DA82" s="62"/>
      <c r="DB82" s="62"/>
      <c r="DC82" s="62"/>
      <c r="DD82" s="62"/>
      <c r="EK82" s="62"/>
      <c r="EL82" s="62"/>
    </row>
    <row r="83" spans="2:142" ht="42.75" customHeight="1" thickBot="1" x14ac:dyDescent="0.3">
      <c r="B83" s="309"/>
      <c r="C83" s="309"/>
      <c r="D83" s="310"/>
      <c r="E83" s="310"/>
      <c r="F83" s="310"/>
      <c r="G83" s="797"/>
      <c r="H83"/>
      <c r="I83"/>
      <c r="J83"/>
      <c r="K83" s="787">
        <v>5</v>
      </c>
      <c r="L83"/>
      <c r="M83" s="787">
        <v>51</v>
      </c>
      <c r="N83"/>
      <c r="O83" s="794"/>
      <c r="BD83" s="109"/>
      <c r="BE83" s="119"/>
      <c r="BF83" s="119"/>
      <c r="BG83" s="119"/>
      <c r="BH83" s="119"/>
      <c r="BI83" s="119"/>
      <c r="BK83" s="119"/>
      <c r="BL83" s="119"/>
      <c r="BM83" s="305"/>
      <c r="BN83" s="171"/>
      <c r="BO83" s="866" t="s">
        <v>112</v>
      </c>
      <c r="BP83" s="589" t="s">
        <v>110</v>
      </c>
      <c r="BQ83" s="173"/>
      <c r="BR83" s="174"/>
      <c r="BS83" s="174"/>
      <c r="BT83" s="174"/>
      <c r="BU83" s="174"/>
      <c r="BV83" s="174"/>
      <c r="BW83" s="174"/>
      <c r="BX83" s="174"/>
      <c r="BY83" s="174"/>
      <c r="BZ83" s="174"/>
      <c r="CA83" s="174"/>
      <c r="CB83" s="601">
        <f>SUM(CB67:CB82)</f>
        <v>1</v>
      </c>
      <c r="CC83" s="602">
        <f t="shared" ref="CC83:CR83" si="0">SUM(CC67:CC82)</f>
        <v>0</v>
      </c>
      <c r="CD83" s="602">
        <f t="shared" si="0"/>
        <v>0</v>
      </c>
      <c r="CE83" s="602">
        <f t="shared" si="0"/>
        <v>0</v>
      </c>
      <c r="CF83" s="602">
        <f t="shared" si="0"/>
        <v>0</v>
      </c>
      <c r="CG83" s="602">
        <f t="shared" si="0"/>
        <v>0</v>
      </c>
      <c r="CH83" s="602">
        <f t="shared" si="0"/>
        <v>0</v>
      </c>
      <c r="CI83" s="602">
        <f t="shared" si="0"/>
        <v>0</v>
      </c>
      <c r="CJ83" s="602">
        <f t="shared" si="0"/>
        <v>0</v>
      </c>
      <c r="CK83" s="602">
        <f t="shared" si="0"/>
        <v>0</v>
      </c>
      <c r="CL83" s="602">
        <f t="shared" si="0"/>
        <v>11</v>
      </c>
      <c r="CM83" s="602">
        <f t="shared" si="0"/>
        <v>0</v>
      </c>
      <c r="CN83" s="602">
        <f t="shared" si="0"/>
        <v>0</v>
      </c>
      <c r="CO83" s="602">
        <f t="shared" si="0"/>
        <v>0</v>
      </c>
      <c r="CP83" s="602">
        <f t="shared" si="0"/>
        <v>0</v>
      </c>
      <c r="CQ83" s="602">
        <f t="shared" si="0"/>
        <v>0</v>
      </c>
      <c r="CR83" s="603">
        <f t="shared" si="0"/>
        <v>0</v>
      </c>
      <c r="CS83" s="174"/>
      <c r="CT83" s="174"/>
      <c r="CU83" s="175"/>
      <c r="CV83" s="175"/>
      <c r="CW83" s="175"/>
      <c r="CX83" s="175"/>
      <c r="CY83" s="175"/>
      <c r="CZ83" s="175"/>
      <c r="DA83" s="176"/>
      <c r="DB83" s="72"/>
      <c r="DC83" s="62"/>
      <c r="DD83" s="62"/>
      <c r="EK83" s="62"/>
      <c r="EL83" s="62"/>
    </row>
    <row r="84" spans="2:142" ht="42.75" customHeight="1" thickBot="1" x14ac:dyDescent="0.3">
      <c r="G84" s="797"/>
      <c r="H84"/>
      <c r="I84"/>
      <c r="J84"/>
      <c r="K84" s="768" t="s">
        <v>181</v>
      </c>
      <c r="L84" s="768" t="s">
        <v>183</v>
      </c>
      <c r="M84" s="768" t="s">
        <v>182</v>
      </c>
      <c r="N84"/>
      <c r="O84" s="794"/>
      <c r="BD84" s="119"/>
      <c r="BE84" s="119"/>
      <c r="BF84" s="119"/>
      <c r="BG84" s="119"/>
      <c r="BH84" s="119"/>
      <c r="BI84" s="119"/>
      <c r="BJ84" s="119"/>
      <c r="BK84" s="119"/>
      <c r="BL84" s="767">
        <v>4</v>
      </c>
      <c r="BM84" s="1055" t="b">
        <f>AND(BO84&gt;=10,$BA$139&gt;=10,$BB$139&gt;=10,$BA$178&gt;=10,$BB$178&gt;=10,$BA$202&gt;=10,$BB$202&gt;=10)</f>
        <v>1</v>
      </c>
      <c r="BN84" s="67" t="str">
        <f>IF(BM84=TRUE,"O K","OVERLOAD")</f>
        <v>O K</v>
      </c>
      <c r="BO84" s="781">
        <f>+$E$20/(BQ53/2)</f>
        <v>65.681444991789817</v>
      </c>
      <c r="BP84" s="177"/>
      <c r="BQ84" s="90"/>
      <c r="BR84" s="91"/>
      <c r="BS84" s="90"/>
      <c r="BT84" s="90"/>
      <c r="BU84" s="90"/>
      <c r="BV84" s="91"/>
      <c r="BW84" s="90"/>
      <c r="BX84" s="90"/>
      <c r="BY84" s="90"/>
      <c r="BZ84" s="90"/>
      <c r="CA84" s="90"/>
      <c r="CB84" s="90"/>
      <c r="CC84" s="90"/>
      <c r="CD84" s="90"/>
      <c r="CE84" s="90"/>
      <c r="CF84" s="90"/>
      <c r="CG84" s="90"/>
      <c r="CH84" s="90"/>
      <c r="CI84" s="90"/>
      <c r="CJ84" s="90"/>
      <c r="CK84" s="90"/>
      <c r="CL84" s="90"/>
      <c r="CM84" s="90"/>
      <c r="CN84" s="90"/>
      <c r="CO84" s="90"/>
      <c r="CP84" s="90"/>
      <c r="CQ84" s="90"/>
      <c r="CR84" s="90"/>
      <c r="CS84" s="62"/>
      <c r="CT84" s="62"/>
      <c r="CU84" s="62"/>
      <c r="CV84" s="62"/>
      <c r="CW84" s="62"/>
      <c r="CX84" s="62"/>
      <c r="CY84" s="62"/>
      <c r="CZ84" s="62"/>
      <c r="DA84" s="62"/>
      <c r="DB84" s="62"/>
      <c r="DC84" s="62"/>
      <c r="DD84" s="62"/>
      <c r="EK84" s="62"/>
      <c r="EL84" s="62"/>
    </row>
    <row r="85" spans="2:142" ht="60" hidden="1" customHeight="1" thickBot="1" x14ac:dyDescent="0.3">
      <c r="B85" s="311"/>
      <c r="C85" s="311"/>
      <c r="G85" s="797"/>
      <c r="H85"/>
      <c r="I85"/>
      <c r="J85" s="840" t="s">
        <v>205</v>
      </c>
      <c r="K85" s="828">
        <f>+MIN(J19:K20)</f>
        <v>32.840722495894909</v>
      </c>
      <c r="L85" s="827">
        <f>+$E$20/(BQ53)</f>
        <v>32.840722495894909</v>
      </c>
      <c r="M85" s="827">
        <f>+MIN(K25:L26)</f>
        <v>32.840722495894909</v>
      </c>
      <c r="N85"/>
      <c r="O85" s="794"/>
      <c r="U85" s="170"/>
      <c r="V85" s="170"/>
      <c r="W85" s="170"/>
      <c r="X85" s="170"/>
      <c r="Y85" s="170"/>
      <c r="Z85" s="170"/>
      <c r="AA85" s="170"/>
      <c r="AF85" s="170"/>
      <c r="AG85" s="170"/>
      <c r="AH85" s="170"/>
      <c r="AI85" s="170"/>
      <c r="AJ85" s="170"/>
      <c r="AK85" s="170"/>
      <c r="AL85" s="170"/>
      <c r="AM85" s="170"/>
      <c r="AN85" s="170"/>
      <c r="AO85" s="170"/>
      <c r="AP85" s="170"/>
      <c r="AQ85" s="170"/>
      <c r="AR85" s="170"/>
      <c r="AS85" s="170"/>
      <c r="AT85" s="170"/>
      <c r="AU85" s="170"/>
      <c r="AV85" s="170"/>
      <c r="AW85" s="170"/>
      <c r="AX85" s="170"/>
      <c r="AY85" s="170"/>
      <c r="AZ85" s="170"/>
      <c r="BA85" s="170"/>
      <c r="BB85" s="170"/>
      <c r="BC85" s="109"/>
      <c r="BD85" s="119"/>
      <c r="BE85" s="119"/>
      <c r="BF85" s="119"/>
      <c r="BG85" s="119"/>
      <c r="BH85" s="119"/>
      <c r="BI85" s="119"/>
      <c r="BJ85" s="119"/>
      <c r="BK85" s="119"/>
      <c r="BL85" s="119"/>
      <c r="BM85" s="305"/>
      <c r="BN85" s="171"/>
      <c r="BO85" s="863"/>
      <c r="BP85" s="60"/>
      <c r="BQ85" s="178" t="b">
        <f>+BK181</f>
        <v>0</v>
      </c>
      <c r="BR85" s="178" t="b">
        <f>+BK182</f>
        <v>0</v>
      </c>
      <c r="BS85" s="178" t="b">
        <f>+BK183</f>
        <v>0</v>
      </c>
      <c r="BT85" s="178" t="b">
        <f>+BK184</f>
        <v>0</v>
      </c>
      <c r="BU85" s="178" t="b">
        <f>+BK185</f>
        <v>0</v>
      </c>
      <c r="BV85" s="178" t="b">
        <f>+BK186</f>
        <v>0</v>
      </c>
      <c r="BW85" s="178" t="b">
        <f>+BK187</f>
        <v>0</v>
      </c>
      <c r="BX85" s="178" t="b">
        <f>+BK188</f>
        <v>0</v>
      </c>
      <c r="BY85" s="178" t="b">
        <f>+BK189</f>
        <v>0</v>
      </c>
      <c r="BZ85" s="178" t="b">
        <f>+BK190</f>
        <v>0</v>
      </c>
      <c r="CA85" s="178" t="b">
        <f>+BK191</f>
        <v>0</v>
      </c>
      <c r="CB85" s="178" t="b">
        <f>+BK192</f>
        <v>0</v>
      </c>
      <c r="CC85" s="178" t="b">
        <f>+BK193</f>
        <v>0</v>
      </c>
      <c r="CD85" s="178" t="b">
        <f>+BK194</f>
        <v>0</v>
      </c>
      <c r="CE85" s="178" t="b">
        <f>+BK195</f>
        <v>0</v>
      </c>
      <c r="CF85" s="178" t="b">
        <f>+BK196</f>
        <v>0</v>
      </c>
      <c r="CG85" s="178">
        <f>+BK197</f>
        <v>17</v>
      </c>
      <c r="CH85" s="178" t="b">
        <f>+BK198</f>
        <v>0</v>
      </c>
      <c r="CI85" s="178" t="b">
        <f>+BK199</f>
        <v>0</v>
      </c>
      <c r="CJ85" s="178" t="b">
        <f>+BK200</f>
        <v>0</v>
      </c>
      <c r="CK85" s="178" t="b">
        <f>+BK201</f>
        <v>0</v>
      </c>
      <c r="CL85" s="178" t="b">
        <f>+BK202</f>
        <v>0</v>
      </c>
      <c r="CM85" s="178" t="b">
        <f>+BK203</f>
        <v>0</v>
      </c>
      <c r="CN85" s="178" t="b">
        <f>+BK204</f>
        <v>0</v>
      </c>
      <c r="CO85" s="178" t="b">
        <f>+BK205</f>
        <v>0</v>
      </c>
      <c r="CP85" s="178" t="b">
        <f>+BK206</f>
        <v>0</v>
      </c>
      <c r="CQ85" s="178" t="b">
        <f>+BK207</f>
        <v>0</v>
      </c>
      <c r="CR85" s="178" t="b">
        <f>+BK208</f>
        <v>0</v>
      </c>
      <c r="CS85" s="178" t="b">
        <f>+BK209</f>
        <v>0</v>
      </c>
      <c r="CT85" s="178" t="b">
        <f>+BK210</f>
        <v>0</v>
      </c>
      <c r="CU85" s="178" t="b">
        <f>+BK211</f>
        <v>0</v>
      </c>
      <c r="CV85" s="178" t="b">
        <f>+BK212</f>
        <v>0</v>
      </c>
      <c r="CW85" s="178" t="b">
        <f>+BK213</f>
        <v>0</v>
      </c>
      <c r="CX85" s="178" t="b">
        <f>+BK214</f>
        <v>0</v>
      </c>
      <c r="CY85" s="178" t="b">
        <f>+BK215</f>
        <v>0</v>
      </c>
      <c r="CZ85" s="178" t="b">
        <f>+BK216</f>
        <v>0</v>
      </c>
      <c r="DA85" s="178" t="b">
        <f>+BK217</f>
        <v>0</v>
      </c>
      <c r="DB85" s="179"/>
      <c r="DC85" s="62"/>
      <c r="DD85" s="62"/>
      <c r="EK85" s="62"/>
      <c r="EL85" s="62"/>
    </row>
    <row r="86" spans="2:142" ht="21" hidden="1" thickBot="1" x14ac:dyDescent="0.25">
      <c r="E86" s="191"/>
      <c r="F86" s="191"/>
      <c r="G86" s="797"/>
      <c r="H86"/>
      <c r="I86" s="783">
        <v>6</v>
      </c>
      <c r="J86" s="783">
        <v>61</v>
      </c>
      <c r="K86" s="783">
        <v>62</v>
      </c>
      <c r="L86" s="783">
        <v>63</v>
      </c>
      <c r="M86" s="787">
        <v>64</v>
      </c>
      <c r="N86"/>
      <c r="O86" s="794"/>
      <c r="BD86" s="119"/>
      <c r="BE86" s="119"/>
      <c r="BF86" s="119"/>
      <c r="BG86" s="119"/>
      <c r="BH86" s="119"/>
      <c r="BI86" s="119"/>
      <c r="BJ86" s="119"/>
      <c r="BK86" s="119"/>
      <c r="BL86" s="119"/>
      <c r="BM86" s="305"/>
      <c r="BN86" s="171"/>
      <c r="BO86" s="863"/>
      <c r="BP86" s="62"/>
      <c r="BQ86" s="179" t="b">
        <f>+BQ85</f>
        <v>0</v>
      </c>
      <c r="BR86" s="179" t="b">
        <f t="shared" ref="BR86:CI86" si="1">+BR85</f>
        <v>0</v>
      </c>
      <c r="BS86" s="179" t="b">
        <f t="shared" si="1"/>
        <v>0</v>
      </c>
      <c r="BT86" s="179" t="b">
        <f t="shared" si="1"/>
        <v>0</v>
      </c>
      <c r="BU86" s="179" t="b">
        <f t="shared" si="1"/>
        <v>0</v>
      </c>
      <c r="BV86" s="179" t="b">
        <f t="shared" si="1"/>
        <v>0</v>
      </c>
      <c r="BW86" s="179" t="b">
        <f>+BW85</f>
        <v>0</v>
      </c>
      <c r="BX86" s="179" t="b">
        <f t="shared" si="1"/>
        <v>0</v>
      </c>
      <c r="BY86" s="179" t="b">
        <f t="shared" si="1"/>
        <v>0</v>
      </c>
      <c r="BZ86" s="179" t="b">
        <f t="shared" si="1"/>
        <v>0</v>
      </c>
      <c r="CA86" s="179" t="b">
        <f t="shared" si="1"/>
        <v>0</v>
      </c>
      <c r="CB86" s="179" t="b">
        <f>+CB85</f>
        <v>0</v>
      </c>
      <c r="CC86" s="179" t="b">
        <f>+CC85</f>
        <v>0</v>
      </c>
      <c r="CD86" s="179" t="b">
        <f>+CD85</f>
        <v>0</v>
      </c>
      <c r="CE86" s="179" t="b">
        <f>+CE85</f>
        <v>0</v>
      </c>
      <c r="CF86" s="179" t="b">
        <f>+CF85</f>
        <v>0</v>
      </c>
      <c r="CG86" s="179">
        <f t="shared" si="1"/>
        <v>17</v>
      </c>
      <c r="CH86" s="179" t="b">
        <f t="shared" si="1"/>
        <v>0</v>
      </c>
      <c r="CI86" s="179" t="b">
        <f t="shared" si="1"/>
        <v>0</v>
      </c>
      <c r="CJ86" s="179" t="b">
        <f>+CJ85</f>
        <v>0</v>
      </c>
      <c r="CK86" s="179" t="b">
        <f>+CK85</f>
        <v>0</v>
      </c>
      <c r="CL86" s="179" t="b">
        <f t="shared" ref="CL86:DA86" si="2">+CL85</f>
        <v>0</v>
      </c>
      <c r="CM86" s="179" t="b">
        <f t="shared" si="2"/>
        <v>0</v>
      </c>
      <c r="CN86" s="179" t="b">
        <f t="shared" si="2"/>
        <v>0</v>
      </c>
      <c r="CO86" s="179" t="b">
        <f t="shared" si="2"/>
        <v>0</v>
      </c>
      <c r="CP86" s="179" t="b">
        <f t="shared" si="2"/>
        <v>0</v>
      </c>
      <c r="CQ86" s="179" t="b">
        <f t="shared" si="2"/>
        <v>0</v>
      </c>
      <c r="CR86" s="179" t="b">
        <f t="shared" si="2"/>
        <v>0</v>
      </c>
      <c r="CS86" s="179" t="b">
        <f t="shared" si="2"/>
        <v>0</v>
      </c>
      <c r="CT86" s="179" t="b">
        <f t="shared" si="2"/>
        <v>0</v>
      </c>
      <c r="CU86" s="179" t="b">
        <f t="shared" si="2"/>
        <v>0</v>
      </c>
      <c r="CV86" s="179" t="b">
        <f t="shared" si="2"/>
        <v>0</v>
      </c>
      <c r="CW86" s="179" t="b">
        <f t="shared" si="2"/>
        <v>0</v>
      </c>
      <c r="CX86" s="179" t="b">
        <f t="shared" si="2"/>
        <v>0</v>
      </c>
      <c r="CY86" s="179" t="b">
        <f t="shared" si="2"/>
        <v>0</v>
      </c>
      <c r="CZ86" s="179" t="b">
        <f t="shared" si="2"/>
        <v>0</v>
      </c>
      <c r="DA86" s="179" t="b">
        <f t="shared" si="2"/>
        <v>0</v>
      </c>
      <c r="DB86" s="179"/>
      <c r="DC86" s="62"/>
      <c r="DD86" s="62"/>
      <c r="EK86" s="62"/>
      <c r="EL86" s="62"/>
    </row>
    <row r="87" spans="2:142" ht="15.75" customHeight="1" thickBot="1" x14ac:dyDescent="0.25">
      <c r="E87" s="191"/>
      <c r="F87" s="191"/>
      <c r="G87" s="797"/>
      <c r="H87"/>
      <c r="I87"/>
      <c r="J87"/>
      <c r="K87"/>
      <c r="L87"/>
      <c r="M87"/>
      <c r="N87"/>
      <c r="O87" s="794"/>
      <c r="V87" s="313"/>
      <c r="W87" s="313"/>
      <c r="X87" s="313"/>
      <c r="Y87" s="313"/>
      <c r="Z87" s="313"/>
      <c r="AA87" s="313"/>
      <c r="AF87" s="304"/>
      <c r="AG87" s="304"/>
      <c r="AH87" s="304"/>
      <c r="AI87" s="304"/>
      <c r="AJ87" s="304"/>
      <c r="AK87" s="304"/>
      <c r="AL87" s="304"/>
      <c r="AM87" s="304"/>
      <c r="AN87" s="304"/>
      <c r="AO87" s="304"/>
      <c r="AP87" s="304"/>
      <c r="AQ87" s="304"/>
      <c r="AR87" s="304"/>
      <c r="AS87" s="304"/>
      <c r="AT87" s="304"/>
      <c r="AU87" s="304"/>
      <c r="AV87" s="304"/>
      <c r="AW87" s="304"/>
      <c r="AX87" s="304"/>
      <c r="AY87" s="304"/>
      <c r="AZ87" s="304"/>
      <c r="BA87" s="304"/>
      <c r="BB87" s="304"/>
      <c r="BC87" s="126"/>
      <c r="BD87" s="119"/>
      <c r="BE87" s="119"/>
      <c r="BF87" s="119"/>
      <c r="BG87" s="119"/>
      <c r="BH87" s="119"/>
      <c r="BI87" s="119"/>
      <c r="BJ87" s="119"/>
      <c r="BK87" s="119"/>
      <c r="BL87" s="119"/>
      <c r="BM87" s="305"/>
      <c r="BN87" s="171"/>
      <c r="BO87" s="863"/>
      <c r="BP87" s="62"/>
      <c r="BQ87" s="179"/>
      <c r="BR87" s="179"/>
      <c r="BS87" s="179"/>
      <c r="BT87" s="179"/>
      <c r="BU87" s="179"/>
      <c r="BV87" s="179"/>
      <c r="BW87" s="179"/>
      <c r="BX87" s="179"/>
      <c r="BY87" s="179"/>
      <c r="BZ87" s="179"/>
      <c r="CA87" s="179"/>
      <c r="CB87" s="179"/>
      <c r="CC87" s="179"/>
      <c r="CD87" s="179"/>
      <c r="CE87" s="179"/>
      <c r="CF87" s="179"/>
      <c r="CG87" s="179"/>
      <c r="CH87" s="179"/>
      <c r="CI87" s="179"/>
      <c r="CJ87" s="179"/>
      <c r="CK87" s="179"/>
      <c r="CL87" s="179"/>
      <c r="CM87" s="179"/>
      <c r="CN87" s="179"/>
      <c r="CO87" s="179"/>
      <c r="CP87" s="179"/>
      <c r="CQ87" s="179"/>
      <c r="CR87" s="179"/>
      <c r="CS87" s="179"/>
      <c r="CT87" s="179"/>
      <c r="CU87" s="179"/>
      <c r="CV87" s="179"/>
      <c r="CW87" s="179"/>
      <c r="CX87" s="179"/>
      <c r="CY87" s="179"/>
      <c r="CZ87" s="179"/>
      <c r="DA87" s="179"/>
      <c r="DB87" s="179"/>
      <c r="DC87" s="62"/>
      <c r="DD87" s="62"/>
      <c r="EK87" s="62"/>
      <c r="EL87" s="62"/>
    </row>
    <row r="88" spans="2:142" ht="42.75" customHeight="1" thickBot="1" x14ac:dyDescent="0.3">
      <c r="E88" s="191"/>
      <c r="F88" s="191"/>
      <c r="G88" s="797"/>
      <c r="H88"/>
      <c r="I88"/>
      <c r="J88"/>
      <c r="K88"/>
      <c r="L88"/>
      <c r="M88"/>
      <c r="N88"/>
      <c r="O88" s="794"/>
      <c r="BD88" s="119"/>
      <c r="BE88" s="119"/>
      <c r="BF88" s="119"/>
      <c r="BG88" s="119"/>
      <c r="BH88" s="119"/>
      <c r="BI88" s="119"/>
      <c r="BJ88" s="119"/>
      <c r="BK88" s="119"/>
      <c r="BL88" s="119"/>
      <c r="BM88" s="305"/>
      <c r="BN88" s="171"/>
      <c r="BO88" s="866" t="s">
        <v>112</v>
      </c>
      <c r="BP88" s="180" t="s">
        <v>113</v>
      </c>
      <c r="BQ88" s="591" t="str">
        <f>IF(BQ86=1,17,"")</f>
        <v/>
      </c>
      <c r="BR88" s="592" t="str">
        <f>IF(BR86=2,16,"")</f>
        <v/>
      </c>
      <c r="BS88" s="592" t="str">
        <f>IF(BS86=3,15,"")</f>
        <v/>
      </c>
      <c r="BT88" s="592" t="str">
        <f>IF(BT86=4,14,"")</f>
        <v/>
      </c>
      <c r="BU88" s="592" t="str">
        <f>IF(BU86=5,13,"")</f>
        <v/>
      </c>
      <c r="BV88" s="592" t="str">
        <f>IF(BV86=6,12,"")</f>
        <v/>
      </c>
      <c r="BW88" s="592" t="str">
        <f>IF(BW86=7,11,"")</f>
        <v/>
      </c>
      <c r="BX88" s="592" t="str">
        <f>IF(BX86=8,10,"")</f>
        <v/>
      </c>
      <c r="BY88" s="592" t="str">
        <f>IF(BY86=9,9,"")</f>
        <v/>
      </c>
      <c r="BZ88" s="592" t="str">
        <f>IF(BZ86=10,8,"")</f>
        <v/>
      </c>
      <c r="CA88" s="592" t="str">
        <f>IF(CA86=11,7,"")</f>
        <v/>
      </c>
      <c r="CB88" s="733" t="str">
        <f>IF(CB86=12,1,"")</f>
        <v/>
      </c>
      <c r="CC88" s="590" t="str">
        <f>IF(CC86=13,2,"")</f>
        <v/>
      </c>
      <c r="CD88" s="590" t="str">
        <f>IF(CD86=14,3,"")</f>
        <v/>
      </c>
      <c r="CE88" s="590" t="str">
        <f>IF(CE86=15,4,"")</f>
        <v/>
      </c>
      <c r="CF88" s="590" t="str">
        <f>IF(CF86=16,5,"")</f>
        <v/>
      </c>
      <c r="CG88" s="590">
        <f>IF(CG86=17,6,"")</f>
        <v>6</v>
      </c>
      <c r="CH88" s="590" t="str">
        <f>IF(CH86=18,7,"")</f>
        <v/>
      </c>
      <c r="CI88" s="590" t="str">
        <f>IF(CI86=19,8,"")</f>
        <v/>
      </c>
      <c r="CJ88" s="590" t="str">
        <f>IF(CJ86=20,9,"")</f>
        <v/>
      </c>
      <c r="CK88" s="590" t="str">
        <f>IF(CK86=21,10,"")</f>
        <v/>
      </c>
      <c r="CL88" s="590" t="str">
        <f>IF(CL86=22,11,"")</f>
        <v/>
      </c>
      <c r="CM88" s="590" t="str">
        <f>IF(CM86=23,12,"")</f>
        <v/>
      </c>
      <c r="CN88" s="590" t="str">
        <f>IF(CN86=24,13,"")</f>
        <v/>
      </c>
      <c r="CO88" s="590" t="str">
        <f>IF(CO86=25,14,"")</f>
        <v/>
      </c>
      <c r="CP88" s="590" t="str">
        <f>IF(CP86=26,15,"")</f>
        <v/>
      </c>
      <c r="CQ88" s="590" t="str">
        <f>IF(CQ86=27,16,"")</f>
        <v/>
      </c>
      <c r="CR88" s="734" t="str">
        <f>IF(CR86=28,17,"")</f>
        <v/>
      </c>
      <c r="CS88" s="599" t="str">
        <f>IF(CS86=29,9,"")</f>
        <v/>
      </c>
      <c r="CT88" s="599" t="str">
        <f>IF(CT86=30,10,"")</f>
        <v/>
      </c>
      <c r="CU88" s="599" t="str">
        <f>IF(CU86=31,11,"")</f>
        <v/>
      </c>
      <c r="CV88" s="599" t="str">
        <f>IF(CV86=32,12,"")</f>
        <v/>
      </c>
      <c r="CW88" s="599" t="str">
        <f>IF(CW86=33,13,"")</f>
        <v/>
      </c>
      <c r="CX88" s="599" t="str">
        <f>IF(CX86=34,14,"")</f>
        <v/>
      </c>
      <c r="CY88" s="599" t="str">
        <f>IF(CY86=35,15,"")</f>
        <v/>
      </c>
      <c r="CZ88" s="599" t="str">
        <f>IF(CZ86=36,16,"")</f>
        <v/>
      </c>
      <c r="DA88" s="600" t="str">
        <f>IF(DA86=37,17,"")</f>
        <v/>
      </c>
      <c r="DB88" s="181"/>
      <c r="DC88" s="62"/>
      <c r="DD88" s="62"/>
      <c r="EK88" s="62"/>
      <c r="EL88" s="62"/>
    </row>
    <row r="89" spans="2:142" ht="42.75" customHeight="1" thickBot="1" x14ac:dyDescent="0.3">
      <c r="E89" s="191"/>
      <c r="F89" s="191"/>
      <c r="G89" s="797"/>
      <c r="H89"/>
      <c r="I89"/>
      <c r="J89"/>
      <c r="K89"/>
      <c r="L89"/>
      <c r="M89"/>
      <c r="N89"/>
      <c r="O89" s="794"/>
      <c r="BD89" s="119"/>
      <c r="BE89" s="119"/>
      <c r="BF89" s="119"/>
      <c r="BG89" s="119"/>
      <c r="BH89" s="119"/>
      <c r="BI89" s="119"/>
      <c r="BJ89" s="119"/>
      <c r="BK89" s="119"/>
      <c r="BL89" s="767">
        <v>5</v>
      </c>
      <c r="BM89" s="1055" t="b">
        <f>AND(BO89&gt;=10,$BA$139&gt;=10,$BB$139&gt;=10,$BA$178&gt;=10,$BB$178&gt;=10,$BA$202&gt;=10,$BB$202&gt;=10)</f>
        <v>1</v>
      </c>
      <c r="BN89" s="67" t="str">
        <f>IF(BM89=TRUE,"O K","OVERLOAD")</f>
        <v>O K</v>
      </c>
      <c r="BO89" s="781">
        <f>IF(SUM(BQ88:CA88)&gt;0,K85,0)+IF(SUM(CB88:CR88)&gt;0,L85,0)+IF(SUM(CS88:DA88)&gt;0,M85,0)</f>
        <v>32.840722495894909</v>
      </c>
      <c r="BP89" s="631" t="s">
        <v>139</v>
      </c>
      <c r="BQ89" s="632">
        <v>-10</v>
      </c>
      <c r="BR89" s="632">
        <v>-9</v>
      </c>
      <c r="BS89" s="632">
        <v>-8</v>
      </c>
      <c r="BT89" s="632">
        <v>-7</v>
      </c>
      <c r="BU89" s="632">
        <v>-6</v>
      </c>
      <c r="BV89" s="632">
        <v>-5</v>
      </c>
      <c r="BW89" s="632">
        <v>-4</v>
      </c>
      <c r="BX89" s="632">
        <v>-3</v>
      </c>
      <c r="BY89" s="632">
        <v>-2</v>
      </c>
      <c r="BZ89" s="632">
        <v>-1</v>
      </c>
      <c r="CA89" s="632">
        <v>0</v>
      </c>
      <c r="CB89" s="632">
        <v>1</v>
      </c>
      <c r="CC89" s="632">
        <v>2</v>
      </c>
      <c r="CD89" s="632">
        <v>3</v>
      </c>
      <c r="CE89" s="632">
        <v>4</v>
      </c>
      <c r="CF89" s="632">
        <v>5</v>
      </c>
      <c r="CG89" s="632">
        <v>6</v>
      </c>
      <c r="CH89" s="632">
        <v>7</v>
      </c>
      <c r="CI89" s="632">
        <v>8</v>
      </c>
      <c r="CJ89" s="632">
        <v>9</v>
      </c>
      <c r="CK89" s="632">
        <v>10</v>
      </c>
      <c r="CL89" s="632">
        <v>11</v>
      </c>
      <c r="CM89" s="632">
        <v>12</v>
      </c>
      <c r="CN89" s="632">
        <v>13</v>
      </c>
      <c r="CO89" s="632">
        <v>14</v>
      </c>
      <c r="CP89" s="632">
        <v>15</v>
      </c>
      <c r="CQ89" s="632">
        <v>16</v>
      </c>
      <c r="CR89" s="632">
        <v>17</v>
      </c>
      <c r="CS89" s="632">
        <v>18</v>
      </c>
      <c r="CT89" s="632">
        <v>19</v>
      </c>
      <c r="CU89" s="632">
        <v>20</v>
      </c>
      <c r="CV89" s="632">
        <v>21</v>
      </c>
      <c r="CW89" s="632">
        <v>22</v>
      </c>
      <c r="CX89" s="632">
        <v>23</v>
      </c>
      <c r="CY89" s="632">
        <v>24</v>
      </c>
      <c r="CZ89" s="632">
        <v>25</v>
      </c>
      <c r="DA89" s="634">
        <v>26</v>
      </c>
      <c r="DB89" s="181"/>
      <c r="DC89" s="62"/>
      <c r="DD89" s="62"/>
      <c r="EK89" s="62"/>
      <c r="EL89" s="62"/>
    </row>
    <row r="90" spans="2:142" ht="149.25" customHeight="1" thickBot="1" x14ac:dyDescent="0.25">
      <c r="G90" s="797"/>
      <c r="H90"/>
      <c r="I90"/>
      <c r="J90"/>
      <c r="K90"/>
      <c r="L90"/>
      <c r="M90"/>
      <c r="N90"/>
      <c r="O90" s="794"/>
      <c r="BD90" s="119"/>
      <c r="BE90" s="119"/>
      <c r="BF90" s="119"/>
      <c r="BG90" s="119"/>
      <c r="BH90" s="119"/>
      <c r="BI90" s="119"/>
      <c r="BJ90" s="119"/>
      <c r="BK90" s="119"/>
      <c r="BL90" s="119"/>
      <c r="BM90" s="305"/>
      <c r="BN90" s="119"/>
      <c r="BP90" s="62"/>
      <c r="BQ90" s="182"/>
      <c r="BR90" s="182"/>
      <c r="BS90" s="182"/>
      <c r="BT90" s="182"/>
      <c r="BU90" s="182"/>
      <c r="BV90" s="182"/>
      <c r="BW90" s="182"/>
      <c r="BX90" s="182"/>
      <c r="BY90" s="182"/>
      <c r="BZ90" s="182"/>
      <c r="CA90" s="182"/>
      <c r="CB90" s="182"/>
      <c r="CC90" s="182"/>
      <c r="CD90" s="182"/>
      <c r="CE90" s="182"/>
      <c r="CF90" s="182"/>
      <c r="CG90" s="182"/>
      <c r="CH90" s="182"/>
      <c r="CI90" s="182"/>
      <c r="CJ90" s="182"/>
      <c r="CK90" s="182"/>
      <c r="CL90" s="182"/>
      <c r="CM90" s="182"/>
      <c r="CN90" s="182"/>
      <c r="CO90" s="182"/>
      <c r="CP90" s="182"/>
      <c r="CQ90" s="182"/>
      <c r="CR90" s="182"/>
      <c r="CS90" s="182"/>
      <c r="CT90" s="182"/>
      <c r="CU90" s="182"/>
      <c r="CV90" s="182"/>
      <c r="CW90" s="182"/>
      <c r="CX90" s="182"/>
      <c r="CY90" s="182"/>
      <c r="CZ90" s="182"/>
      <c r="DA90" s="182"/>
      <c r="DB90" s="182"/>
      <c r="DC90" s="62"/>
      <c r="DD90" s="62"/>
      <c r="EK90" s="62"/>
      <c r="EL90" s="62"/>
    </row>
    <row r="91" spans="2:142" ht="24" hidden="1" thickBot="1" x14ac:dyDescent="0.3">
      <c r="E91" s="300"/>
      <c r="F91" s="300"/>
      <c r="G91" s="797"/>
      <c r="H91"/>
      <c r="I91"/>
      <c r="J91"/>
      <c r="K91"/>
      <c r="L91"/>
      <c r="M91"/>
      <c r="N91"/>
      <c r="O91" s="794"/>
      <c r="BN91" s="69"/>
      <c r="BO91" s="11"/>
      <c r="BP91" s="79"/>
      <c r="BQ91" s="80"/>
      <c r="BR91" s="80"/>
      <c r="BS91" s="80"/>
      <c r="BT91" s="80"/>
      <c r="BU91" s="80"/>
      <c r="BV91" s="80"/>
      <c r="BW91" s="80"/>
      <c r="BX91" s="80"/>
      <c r="BY91" s="77"/>
      <c r="BZ91" s="77"/>
      <c r="CA91" s="72"/>
      <c r="CB91" s="72"/>
      <c r="CC91" s="72"/>
      <c r="CD91" s="72"/>
      <c r="CE91" s="72"/>
      <c r="CF91" s="72"/>
      <c r="CG91" s="72"/>
      <c r="CH91" s="72"/>
      <c r="CI91" s="72"/>
      <c r="CJ91" s="72"/>
      <c r="CK91" s="72"/>
      <c r="CL91" s="72"/>
      <c r="CM91" s="72"/>
      <c r="CN91" s="26"/>
      <c r="CO91" s="78"/>
      <c r="CP91" s="78"/>
      <c r="CQ91" s="78"/>
      <c r="CR91" s="78"/>
      <c r="CS91" s="75"/>
      <c r="CT91" s="75"/>
      <c r="CU91" s="75"/>
      <c r="CV91" s="75"/>
      <c r="CW91" s="75"/>
      <c r="CX91" s="75"/>
      <c r="CY91" s="75"/>
      <c r="CZ91" s="75"/>
      <c r="DA91" s="75"/>
      <c r="DB91" s="75"/>
      <c r="DC91" s="10"/>
      <c r="DD91" s="62"/>
    </row>
    <row r="92" spans="2:142" ht="24" hidden="1" thickBot="1" x14ac:dyDescent="0.3">
      <c r="E92" s="300"/>
      <c r="F92" s="300"/>
      <c r="G92" s="797"/>
      <c r="H92"/>
      <c r="I92"/>
      <c r="J92"/>
      <c r="K92"/>
      <c r="L92"/>
      <c r="M92"/>
      <c r="N92"/>
      <c r="O92" s="794"/>
      <c r="BN92" s="69"/>
      <c r="BO92" s="11"/>
      <c r="BP92" s="79">
        <v>36</v>
      </c>
      <c r="BQ92" s="80"/>
      <c r="BR92" s="80"/>
      <c r="BS92" s="80"/>
      <c r="BT92" s="80"/>
      <c r="BU92" s="80"/>
      <c r="BV92" s="80"/>
      <c r="BW92" s="80"/>
      <c r="BX92" s="80"/>
      <c r="BY92" s="77"/>
      <c r="BZ92" s="77"/>
      <c r="CA92" s="72"/>
      <c r="CB92" s="72"/>
      <c r="CC92" s="72"/>
      <c r="CD92" s="72"/>
      <c r="CE92" s="72"/>
      <c r="CF92" s="72"/>
      <c r="CG92" s="72"/>
      <c r="CH92" s="81"/>
      <c r="CI92" s="82"/>
      <c r="CJ92" s="83"/>
      <c r="CK92" s="72"/>
      <c r="CL92" s="72"/>
      <c r="CM92" s="72"/>
      <c r="CN92" s="26"/>
      <c r="CO92" s="78"/>
      <c r="CP92" s="78"/>
      <c r="CQ92" s="78"/>
      <c r="CR92" s="78"/>
      <c r="CS92" s="75"/>
      <c r="CT92" s="75"/>
      <c r="CU92" s="75"/>
      <c r="CV92" s="75"/>
      <c r="CW92" s="75"/>
      <c r="CX92" s="75"/>
      <c r="CY92" s="84" t="b">
        <f>IF(CZ85=36,35)</f>
        <v>0</v>
      </c>
      <c r="CZ92" s="85"/>
      <c r="DA92" s="86" t="b">
        <f>IF(CZ85=36,37)</f>
        <v>0</v>
      </c>
      <c r="DB92" s="75"/>
      <c r="DC92" s="10"/>
      <c r="DD92" s="62"/>
    </row>
    <row r="93" spans="2:142" ht="24" hidden="1" thickBot="1" x14ac:dyDescent="0.3">
      <c r="E93" s="300"/>
      <c r="F93" s="300"/>
      <c r="G93" s="797"/>
      <c r="H93"/>
      <c r="I93"/>
      <c r="J93"/>
      <c r="K93"/>
      <c r="L93"/>
      <c r="M93"/>
      <c r="N93"/>
      <c r="O93" s="794"/>
      <c r="BN93" s="69"/>
      <c r="BO93" s="11"/>
      <c r="BP93" s="79">
        <v>35</v>
      </c>
      <c r="BQ93" s="80"/>
      <c r="BR93" s="80"/>
      <c r="BS93" s="80"/>
      <c r="BT93" s="80"/>
      <c r="BU93" s="80"/>
      <c r="BV93" s="80"/>
      <c r="BW93" s="80"/>
      <c r="BX93" s="80"/>
      <c r="BY93" s="77"/>
      <c r="BZ93" s="77"/>
      <c r="CA93" s="72"/>
      <c r="CB93" s="72"/>
      <c r="CC93" s="72"/>
      <c r="CD93" s="72"/>
      <c r="CE93" s="72"/>
      <c r="CF93" s="72"/>
      <c r="CG93" s="72"/>
      <c r="CH93" s="87"/>
      <c r="CI93" s="72"/>
      <c r="CJ93" s="88"/>
      <c r="CK93" s="72"/>
      <c r="CL93" s="72"/>
      <c r="CM93" s="72"/>
      <c r="CN93" s="26"/>
      <c r="CO93" s="78"/>
      <c r="CP93" s="78"/>
      <c r="CQ93" s="78"/>
      <c r="CR93" s="78"/>
      <c r="CS93" s="75"/>
      <c r="CT93" s="75"/>
      <c r="CU93" s="75"/>
      <c r="CV93" s="75"/>
      <c r="CW93" s="84" t="b">
        <f>IF(CY85=35,33)</f>
        <v>0</v>
      </c>
      <c r="CX93" s="85"/>
      <c r="CY93" s="85"/>
      <c r="CZ93" s="85"/>
      <c r="DA93" s="86" t="b">
        <f>IF(CY85=35,37)</f>
        <v>0</v>
      </c>
      <c r="DB93" s="75"/>
      <c r="DC93" s="10"/>
      <c r="DD93" s="62"/>
    </row>
    <row r="94" spans="2:142" ht="24" hidden="1" thickBot="1" x14ac:dyDescent="0.3">
      <c r="E94" s="300"/>
      <c r="F94" s="300"/>
      <c r="G94" s="797"/>
      <c r="H94"/>
      <c r="I94"/>
      <c r="J94"/>
      <c r="K94"/>
      <c r="L94"/>
      <c r="M94"/>
      <c r="N94"/>
      <c r="O94" s="794"/>
      <c r="BN94" s="69"/>
      <c r="BO94" s="11"/>
      <c r="BP94" s="79">
        <v>34</v>
      </c>
      <c r="BQ94" s="80"/>
      <c r="BR94" s="80"/>
      <c r="BS94" s="80"/>
      <c r="BT94" s="80"/>
      <c r="BU94" s="80"/>
      <c r="BV94" s="80"/>
      <c r="BW94" s="80"/>
      <c r="BX94" s="80"/>
      <c r="BY94" s="77"/>
      <c r="BZ94" s="77"/>
      <c r="CA94" s="72"/>
      <c r="CB94" s="72"/>
      <c r="CC94" s="72"/>
      <c r="CD94" s="72"/>
      <c r="CE94" s="72"/>
      <c r="CF94" s="72"/>
      <c r="CG94" s="72"/>
      <c r="CH94" s="87"/>
      <c r="CI94" s="72"/>
      <c r="CJ94" s="88"/>
      <c r="CK94" s="72"/>
      <c r="CL94" s="72"/>
      <c r="CM94" s="72"/>
      <c r="CN94" s="26"/>
      <c r="CO94" s="78"/>
      <c r="CP94" s="78"/>
      <c r="CQ94" s="78"/>
      <c r="CR94" s="78"/>
      <c r="CS94" s="75"/>
      <c r="CT94" s="75"/>
      <c r="CU94" s="84" t="b">
        <f>IF(CX85=34,31)</f>
        <v>0</v>
      </c>
      <c r="CV94" s="85"/>
      <c r="CW94" s="85"/>
      <c r="CX94" s="85"/>
      <c r="CY94" s="85"/>
      <c r="CZ94" s="85"/>
      <c r="DA94" s="86" t="b">
        <f>IF(CX85=34,37)</f>
        <v>0</v>
      </c>
      <c r="DB94" s="75"/>
      <c r="DC94" s="10"/>
      <c r="DD94" s="62"/>
    </row>
    <row r="95" spans="2:142" ht="24" hidden="1" thickBot="1" x14ac:dyDescent="0.3">
      <c r="E95" s="300"/>
      <c r="F95" s="300"/>
      <c r="G95" s="797"/>
      <c r="H95"/>
      <c r="I95"/>
      <c r="J95"/>
      <c r="K95"/>
      <c r="L95"/>
      <c r="M95"/>
      <c r="N95"/>
      <c r="O95" s="794"/>
      <c r="BN95" s="69"/>
      <c r="BO95" s="11"/>
      <c r="BP95" s="79">
        <v>33</v>
      </c>
      <c r="BQ95" s="80"/>
      <c r="BR95" s="80"/>
      <c r="BS95" s="80"/>
      <c r="BT95" s="80"/>
      <c r="BU95" s="80"/>
      <c r="BV95" s="80"/>
      <c r="BW95" s="80"/>
      <c r="BX95" s="80"/>
      <c r="BY95" s="77"/>
      <c r="BZ95" s="77"/>
      <c r="CA95" s="72"/>
      <c r="CB95" s="72"/>
      <c r="CC95" s="72"/>
      <c r="CD95" s="72"/>
      <c r="CE95" s="72"/>
      <c r="CF95" s="72"/>
      <c r="CG95" s="72"/>
      <c r="CH95" s="87"/>
      <c r="CI95" s="72"/>
      <c r="CJ95" s="88"/>
      <c r="CK95" s="72"/>
      <c r="CL95" s="72"/>
      <c r="CM95" s="72"/>
      <c r="CN95" s="26"/>
      <c r="CO95" s="78"/>
      <c r="CP95" s="78"/>
      <c r="CQ95" s="78"/>
      <c r="CR95" s="78"/>
      <c r="CS95" s="84" t="b">
        <f>IF(CW85=33,29)</f>
        <v>0</v>
      </c>
      <c r="CT95" s="85"/>
      <c r="CU95" s="85"/>
      <c r="CV95" s="85"/>
      <c r="CW95" s="85"/>
      <c r="CX95" s="85"/>
      <c r="CY95" s="85"/>
      <c r="CZ95" s="85"/>
      <c r="DA95" s="86" t="b">
        <f>IF(CW85=33,37)</f>
        <v>0</v>
      </c>
      <c r="DB95" s="75"/>
      <c r="DC95" s="10"/>
      <c r="DD95" s="62"/>
    </row>
    <row r="96" spans="2:142" ht="21" hidden="1" thickBot="1" x14ac:dyDescent="0.25">
      <c r="E96" s="300"/>
      <c r="F96" s="300"/>
      <c r="G96" s="797"/>
      <c r="H96"/>
      <c r="I96"/>
      <c r="J96"/>
      <c r="K96"/>
      <c r="L96"/>
      <c r="M96"/>
      <c r="N96"/>
      <c r="O96" s="794"/>
      <c r="BN96" s="69"/>
      <c r="BP96" s="79">
        <v>32</v>
      </c>
      <c r="BQ96" s="90"/>
      <c r="BR96" s="90"/>
      <c r="BS96" s="90"/>
      <c r="BT96" s="90"/>
      <c r="BU96" s="90"/>
      <c r="BV96" s="91"/>
      <c r="BW96" s="90"/>
      <c r="BX96" s="90"/>
      <c r="BY96" s="90"/>
      <c r="BZ96" s="90"/>
      <c r="CA96" s="90"/>
      <c r="CB96" s="90"/>
      <c r="CC96" s="90"/>
      <c r="CD96" s="90"/>
      <c r="CE96" s="90"/>
      <c r="CF96" s="90"/>
      <c r="CG96" s="90"/>
      <c r="CH96" s="92"/>
      <c r="CI96" s="90"/>
      <c r="CJ96" s="93"/>
      <c r="CK96" s="90"/>
      <c r="CL96" s="90"/>
      <c r="CM96" s="90"/>
      <c r="CN96" s="91"/>
      <c r="CO96" s="62"/>
      <c r="CP96" s="62"/>
      <c r="CQ96" s="84" t="b">
        <f>IF(CV85=32,27)</f>
        <v>0</v>
      </c>
      <c r="CR96" s="94"/>
      <c r="CS96" s="94"/>
      <c r="CT96" s="94"/>
      <c r="CU96" s="94"/>
      <c r="CV96" s="94"/>
      <c r="CW96" s="94"/>
      <c r="CX96" s="94"/>
      <c r="CY96" s="94"/>
      <c r="CZ96" s="94"/>
      <c r="DA96" s="86" t="b">
        <f>IF(CV85=32,37)</f>
        <v>0</v>
      </c>
      <c r="DB96" s="62"/>
      <c r="DC96" s="62"/>
      <c r="DD96" s="62"/>
    </row>
    <row r="97" spans="5:108" ht="21" hidden="1" thickBot="1" x14ac:dyDescent="0.25">
      <c r="E97" s="300"/>
      <c r="F97" s="300"/>
      <c r="G97" s="797"/>
      <c r="H97"/>
      <c r="I97"/>
      <c r="J97"/>
      <c r="K97"/>
      <c r="L97"/>
      <c r="M97"/>
      <c r="N97"/>
      <c r="O97" s="794"/>
      <c r="BN97" s="69"/>
      <c r="BP97" s="79">
        <v>31</v>
      </c>
      <c r="BQ97" s="90"/>
      <c r="BR97" s="90"/>
      <c r="BS97" s="90"/>
      <c r="BT97" s="90"/>
      <c r="BU97" s="90"/>
      <c r="BV97" s="91"/>
      <c r="BW97" s="90"/>
      <c r="BX97" s="90"/>
      <c r="BY97" s="90"/>
      <c r="BZ97" s="90"/>
      <c r="CA97" s="90"/>
      <c r="CB97" s="90"/>
      <c r="CC97" s="90"/>
      <c r="CD97" s="90"/>
      <c r="CE97" s="90"/>
      <c r="CF97" s="90"/>
      <c r="CG97" s="90"/>
      <c r="CH97" s="92"/>
      <c r="CI97" s="90"/>
      <c r="CJ97" s="93"/>
      <c r="CK97" s="90"/>
      <c r="CL97" s="90"/>
      <c r="CM97" s="90"/>
      <c r="CN97" s="91"/>
      <c r="CO97" s="84" t="b">
        <f>IF(CU85=31,25)</f>
        <v>0</v>
      </c>
      <c r="CP97" s="94"/>
      <c r="CQ97" s="94"/>
      <c r="CR97" s="94"/>
      <c r="CS97" s="94"/>
      <c r="CT97" s="94"/>
      <c r="CU97" s="94"/>
      <c r="CV97" s="94"/>
      <c r="CW97" s="94"/>
      <c r="CX97" s="94"/>
      <c r="CY97" s="94"/>
      <c r="CZ97" s="94"/>
      <c r="DA97" s="86" t="b">
        <f>IF(CU85=31,37)</f>
        <v>0</v>
      </c>
      <c r="DB97" s="62"/>
      <c r="DC97" s="62"/>
      <c r="DD97" s="62"/>
    </row>
    <row r="98" spans="5:108" ht="21" hidden="1" thickBot="1" x14ac:dyDescent="0.25">
      <c r="E98" s="300"/>
      <c r="F98" s="300"/>
      <c r="G98" s="797"/>
      <c r="H98"/>
      <c r="I98"/>
      <c r="J98"/>
      <c r="K98"/>
      <c r="L98"/>
      <c r="M98"/>
      <c r="N98"/>
      <c r="O98" s="794"/>
      <c r="BN98" s="69"/>
      <c r="BP98" s="79">
        <v>30</v>
      </c>
      <c r="BQ98" s="90"/>
      <c r="BR98" s="90"/>
      <c r="BS98" s="90"/>
      <c r="BT98" s="90"/>
      <c r="BU98" s="90"/>
      <c r="BV98" s="91"/>
      <c r="BW98" s="90"/>
      <c r="BX98" s="90"/>
      <c r="BY98" s="90"/>
      <c r="BZ98" s="90"/>
      <c r="CA98" s="90"/>
      <c r="CB98" s="90"/>
      <c r="CC98" s="90"/>
      <c r="CD98" s="90"/>
      <c r="CE98" s="90"/>
      <c r="CF98" s="90"/>
      <c r="CG98" s="90"/>
      <c r="CH98" s="92"/>
      <c r="CI98" s="90"/>
      <c r="CJ98" s="93"/>
      <c r="CK98" s="90"/>
      <c r="CL98" s="90"/>
      <c r="CM98" s="84" t="b">
        <f>IF(CT85=30,23)</f>
        <v>0</v>
      </c>
      <c r="CN98" s="95"/>
      <c r="CO98" s="94"/>
      <c r="CP98" s="94"/>
      <c r="CQ98" s="94"/>
      <c r="CR98" s="94"/>
      <c r="CS98" s="94"/>
      <c r="CT98" s="94"/>
      <c r="CU98" s="94"/>
      <c r="CV98" s="94"/>
      <c r="CW98" s="94"/>
      <c r="CX98" s="94"/>
      <c r="CY98" s="94"/>
      <c r="CZ98" s="94"/>
      <c r="DA98" s="86" t="b">
        <f>IF(CT85=30,37)</f>
        <v>0</v>
      </c>
      <c r="DB98" s="62"/>
      <c r="DC98" s="62"/>
      <c r="DD98" s="62"/>
    </row>
    <row r="99" spans="5:108" ht="21" hidden="1" thickBot="1" x14ac:dyDescent="0.25">
      <c r="E99" s="300"/>
      <c r="F99" s="300"/>
      <c r="G99" s="797"/>
      <c r="H99"/>
      <c r="I99"/>
      <c r="J99"/>
      <c r="K99"/>
      <c r="L99"/>
      <c r="M99"/>
      <c r="N99"/>
      <c r="O99" s="794"/>
      <c r="BE99" s="97"/>
      <c r="BF99" s="97"/>
      <c r="BG99" s="97"/>
      <c r="BH99" s="97"/>
      <c r="BN99" s="69"/>
      <c r="BO99" s="97"/>
      <c r="BP99" s="79">
        <v>29</v>
      </c>
      <c r="BQ99" s="62"/>
      <c r="BR99" s="62"/>
      <c r="BS99" s="62"/>
      <c r="BT99" s="62"/>
      <c r="BU99" s="62"/>
      <c r="BV99" s="62"/>
      <c r="BW99" s="62"/>
      <c r="BX99" s="62"/>
      <c r="BY99" s="62"/>
      <c r="BZ99" s="62"/>
      <c r="CA99" s="62"/>
      <c r="CB99" s="62"/>
      <c r="CC99" s="62"/>
      <c r="CD99" s="62"/>
      <c r="CE99" s="62"/>
      <c r="CF99" s="62"/>
      <c r="CG99" s="62"/>
      <c r="CH99" s="98"/>
      <c r="CI99" s="62"/>
      <c r="CJ99" s="99"/>
      <c r="CK99" s="100" t="b">
        <f>IF(CS85=29,21)</f>
        <v>0</v>
      </c>
      <c r="CL99" s="94"/>
      <c r="CM99" s="94"/>
      <c r="CN99" s="94"/>
      <c r="CO99" s="94"/>
      <c r="CP99" s="94"/>
      <c r="CQ99" s="94"/>
      <c r="CR99" s="101"/>
      <c r="CS99" s="94"/>
      <c r="CT99" s="101"/>
      <c r="CU99" s="102"/>
      <c r="CV99" s="102"/>
      <c r="CW99" s="102"/>
      <c r="CX99" s="102"/>
      <c r="CY99" s="102"/>
      <c r="CZ99" s="102"/>
      <c r="DA99" s="86" t="b">
        <f>IF(CS85=29,37)</f>
        <v>0</v>
      </c>
      <c r="DB99" s="60"/>
      <c r="DC99" s="62"/>
      <c r="DD99" s="62"/>
    </row>
    <row r="100" spans="5:108" ht="21" hidden="1" thickBot="1" x14ac:dyDescent="0.25">
      <c r="E100" s="300"/>
      <c r="F100" s="300"/>
      <c r="G100" s="797"/>
      <c r="H100"/>
      <c r="I100"/>
      <c r="J100"/>
      <c r="K100"/>
      <c r="L100"/>
      <c r="M100"/>
      <c r="N100"/>
      <c r="O100" s="794"/>
      <c r="BE100" s="97"/>
      <c r="BF100" s="97"/>
      <c r="BG100" s="97"/>
      <c r="BH100" s="97"/>
      <c r="BN100" s="69"/>
      <c r="BO100" s="97"/>
      <c r="BP100" s="79">
        <v>28</v>
      </c>
      <c r="BQ100" s="62"/>
      <c r="BR100" s="62"/>
      <c r="BS100" s="62"/>
      <c r="BT100" s="62"/>
      <c r="BU100" s="62"/>
      <c r="BV100" s="62"/>
      <c r="BW100" s="62"/>
      <c r="BX100" s="62"/>
      <c r="BY100" s="62"/>
      <c r="BZ100" s="62"/>
      <c r="CA100" s="62"/>
      <c r="CB100" s="62"/>
      <c r="CC100" s="62"/>
      <c r="CD100" s="62"/>
      <c r="CE100" s="62"/>
      <c r="CF100" s="62"/>
      <c r="CG100" s="62"/>
      <c r="CH100" s="98"/>
      <c r="CI100" s="62"/>
      <c r="CJ100" s="99"/>
      <c r="CK100" s="103" t="b">
        <f>IF(CR85=28,21)</f>
        <v>0</v>
      </c>
      <c r="CL100" s="104"/>
      <c r="CM100" s="104"/>
      <c r="CN100" s="104"/>
      <c r="CO100" s="104"/>
      <c r="CP100" s="105"/>
      <c r="CQ100" s="104"/>
      <c r="CR100" s="104"/>
      <c r="CS100" s="104"/>
      <c r="CT100" s="105"/>
      <c r="CU100" s="106"/>
      <c r="CV100" s="106"/>
      <c r="CW100" s="106"/>
      <c r="CX100" s="106"/>
      <c r="CY100" s="107" t="b">
        <f>IF(CR85=28,35)</f>
        <v>0</v>
      </c>
      <c r="CZ100" s="60"/>
      <c r="DA100" s="60"/>
      <c r="DB100" s="60"/>
      <c r="DC100" s="62"/>
      <c r="DD100" s="62"/>
    </row>
    <row r="101" spans="5:108" ht="21" hidden="1" thickBot="1" x14ac:dyDescent="0.25">
      <c r="E101" s="300"/>
      <c r="F101" s="300"/>
      <c r="G101" s="797"/>
      <c r="H101"/>
      <c r="I101"/>
      <c r="J101"/>
      <c r="K101"/>
      <c r="L101"/>
      <c r="M101"/>
      <c r="N101"/>
      <c r="O101" s="794"/>
      <c r="BE101" s="97"/>
      <c r="BF101" s="97"/>
      <c r="BG101" s="97"/>
      <c r="BH101" s="97"/>
      <c r="BN101" s="69"/>
      <c r="BO101" s="97"/>
      <c r="BP101" s="79">
        <v>27</v>
      </c>
      <c r="BQ101" s="62"/>
      <c r="BR101" s="62"/>
      <c r="BS101" s="62"/>
      <c r="BT101" s="62"/>
      <c r="BU101" s="62"/>
      <c r="BV101" s="62"/>
      <c r="BW101" s="62"/>
      <c r="BX101" s="62"/>
      <c r="BY101" s="62"/>
      <c r="BZ101" s="62"/>
      <c r="CA101" s="62"/>
      <c r="CB101" s="62"/>
      <c r="CC101" s="62"/>
      <c r="CD101" s="62"/>
      <c r="CE101" s="62"/>
      <c r="CF101" s="62"/>
      <c r="CG101" s="62"/>
      <c r="CH101" s="98"/>
      <c r="CI101" s="62"/>
      <c r="CJ101" s="99"/>
      <c r="CK101" s="103" t="b">
        <f>IF(CQ85=27,21)</f>
        <v>0</v>
      </c>
      <c r="CL101" s="104"/>
      <c r="CM101" s="104"/>
      <c r="CN101" s="105"/>
      <c r="CO101" s="104"/>
      <c r="CP101" s="104"/>
      <c r="CQ101" s="104"/>
      <c r="CR101" s="104"/>
      <c r="CS101" s="104"/>
      <c r="CT101" s="105"/>
      <c r="CU101" s="106"/>
      <c r="CV101" s="106"/>
      <c r="CW101" s="107" t="b">
        <f>IF(CQ85=27,33)</f>
        <v>0</v>
      </c>
      <c r="CX101" s="60"/>
      <c r="CY101" s="60"/>
      <c r="CZ101" s="60"/>
      <c r="DA101" s="60"/>
      <c r="DB101" s="60"/>
      <c r="DC101" s="62"/>
      <c r="DD101" s="62"/>
    </row>
    <row r="102" spans="5:108" ht="21" hidden="1" thickBot="1" x14ac:dyDescent="0.25">
      <c r="E102" s="300"/>
      <c r="F102" s="300"/>
      <c r="G102" s="797"/>
      <c r="H102"/>
      <c r="I102"/>
      <c r="J102"/>
      <c r="K102"/>
      <c r="L102"/>
      <c r="M102"/>
      <c r="N102"/>
      <c r="O102" s="794"/>
      <c r="BN102" s="69"/>
      <c r="BP102" s="79">
        <v>26</v>
      </c>
      <c r="BQ102" s="62"/>
      <c r="BR102" s="62"/>
      <c r="BS102" s="62"/>
      <c r="BT102" s="62"/>
      <c r="BU102" s="62"/>
      <c r="BV102" s="62"/>
      <c r="BW102" s="62"/>
      <c r="BX102" s="62"/>
      <c r="BY102" s="62"/>
      <c r="BZ102" s="62"/>
      <c r="CA102" s="62"/>
      <c r="CB102" s="62"/>
      <c r="CC102" s="62"/>
      <c r="CD102" s="62"/>
      <c r="CE102" s="62"/>
      <c r="CF102" s="62"/>
      <c r="CG102" s="62"/>
      <c r="CH102" s="98"/>
      <c r="CI102" s="62"/>
      <c r="CJ102" s="99"/>
      <c r="CK102" s="103" t="b">
        <f>IF(CP85=26,21)</f>
        <v>0</v>
      </c>
      <c r="CL102" s="105"/>
      <c r="CM102" s="104"/>
      <c r="CN102" s="104"/>
      <c r="CO102" s="104"/>
      <c r="CP102" s="104"/>
      <c r="CQ102" s="104"/>
      <c r="CR102" s="104"/>
      <c r="CS102" s="104"/>
      <c r="CT102" s="105"/>
      <c r="CU102" s="107" t="b">
        <f>IF(CP85=26,31)</f>
        <v>0</v>
      </c>
      <c r="CV102" s="60"/>
      <c r="CW102" s="60"/>
      <c r="CX102" s="60"/>
      <c r="CY102" s="60"/>
      <c r="CZ102" s="60"/>
      <c r="DA102" s="60"/>
      <c r="DB102" s="60"/>
      <c r="DC102" s="62"/>
      <c r="DD102" s="62"/>
    </row>
    <row r="103" spans="5:108" ht="21" hidden="1" thickBot="1" x14ac:dyDescent="0.25">
      <c r="E103" s="300"/>
      <c r="F103" s="300"/>
      <c r="G103" s="797"/>
      <c r="H103"/>
      <c r="I103"/>
      <c r="J103"/>
      <c r="K103"/>
      <c r="L103"/>
      <c r="M103"/>
      <c r="N103"/>
      <c r="O103" s="794"/>
      <c r="BE103" s="109"/>
      <c r="BF103" s="109"/>
      <c r="BG103" s="109"/>
      <c r="BH103" s="109"/>
      <c r="BN103" s="69"/>
      <c r="BO103" s="109"/>
      <c r="BP103" s="79">
        <v>25</v>
      </c>
      <c r="BQ103" s="62"/>
      <c r="BR103" s="62"/>
      <c r="BS103" s="62"/>
      <c r="BT103" s="62"/>
      <c r="BU103" s="62"/>
      <c r="BV103" s="62"/>
      <c r="BW103" s="62"/>
      <c r="BX103" s="62"/>
      <c r="BY103" s="62"/>
      <c r="BZ103" s="62"/>
      <c r="CA103" s="62"/>
      <c r="CC103" s="62"/>
      <c r="CD103" s="62"/>
      <c r="CE103" s="62"/>
      <c r="CF103" s="62"/>
      <c r="CG103" s="62"/>
      <c r="CH103" s="98"/>
      <c r="CI103" s="62"/>
      <c r="CK103" s="111" t="b">
        <f>IF(CO85=25,21)</f>
        <v>0</v>
      </c>
      <c r="CL103" s="104"/>
      <c r="CM103" s="104"/>
      <c r="CN103" s="104"/>
      <c r="CO103" s="104"/>
      <c r="CP103" s="104"/>
      <c r="CQ103" s="104"/>
      <c r="CR103" s="104"/>
      <c r="CS103" s="107" t="b">
        <f>IF(CO85=25,29)</f>
        <v>0</v>
      </c>
      <c r="CU103" s="60"/>
      <c r="CV103" s="60"/>
      <c r="CW103" s="60"/>
      <c r="CX103" s="60"/>
      <c r="CY103" s="60"/>
      <c r="CZ103" s="60"/>
      <c r="DA103" s="60"/>
      <c r="DB103" s="60"/>
      <c r="DC103" s="62"/>
      <c r="DD103" s="62"/>
    </row>
    <row r="104" spans="5:108" ht="21" hidden="1" thickBot="1" x14ac:dyDescent="0.25">
      <c r="E104" s="300"/>
      <c r="F104" s="300"/>
      <c r="G104" s="797"/>
      <c r="H104"/>
      <c r="I104"/>
      <c r="J104"/>
      <c r="K104"/>
      <c r="L104"/>
      <c r="M104"/>
      <c r="N104"/>
      <c r="O104" s="794"/>
      <c r="BE104" s="109"/>
      <c r="BF104" s="109"/>
      <c r="BG104" s="109"/>
      <c r="BH104" s="109"/>
      <c r="BN104" s="69"/>
      <c r="BO104" s="109"/>
      <c r="BP104" s="79">
        <v>24</v>
      </c>
      <c r="BQ104" s="62"/>
      <c r="BR104" s="62"/>
      <c r="BS104" s="62"/>
      <c r="BT104" s="62"/>
      <c r="BU104" s="62"/>
      <c r="BV104" s="62"/>
      <c r="BW104" s="62"/>
      <c r="BX104" s="62"/>
      <c r="BY104" s="62"/>
      <c r="BZ104" s="62"/>
      <c r="CA104" s="62"/>
      <c r="CB104" s="100" t="b">
        <f>IF(CN85=24,12)</f>
        <v>0</v>
      </c>
      <c r="CC104" s="94"/>
      <c r="CD104" s="94"/>
      <c r="CE104" s="94"/>
      <c r="CF104" s="94"/>
      <c r="CG104" s="94"/>
      <c r="CH104" s="101"/>
      <c r="CI104" s="94"/>
      <c r="CJ104" s="112"/>
      <c r="CK104" s="94"/>
      <c r="CL104" s="94"/>
      <c r="CM104" s="94"/>
      <c r="CN104" s="94"/>
      <c r="CO104" s="94"/>
      <c r="CP104" s="94"/>
      <c r="CQ104" s="94"/>
      <c r="CR104" s="94"/>
      <c r="CS104" s="94"/>
      <c r="CT104" s="101"/>
      <c r="CU104" s="102"/>
      <c r="CV104" s="102"/>
      <c r="CW104" s="102"/>
      <c r="CX104" s="102"/>
      <c r="CY104" s="102"/>
      <c r="CZ104" s="86" t="b">
        <f>IF(CN85=24,36)</f>
        <v>0</v>
      </c>
      <c r="DA104" s="60"/>
      <c r="DB104" s="60"/>
      <c r="DC104" s="62"/>
      <c r="DD104" s="62"/>
    </row>
    <row r="105" spans="5:108" ht="21" hidden="1" thickBot="1" x14ac:dyDescent="0.25">
      <c r="E105" s="300"/>
      <c r="F105" s="300"/>
      <c r="G105" s="797"/>
      <c r="H105"/>
      <c r="I105"/>
      <c r="J105"/>
      <c r="K105"/>
      <c r="L105"/>
      <c r="M105"/>
      <c r="N105"/>
      <c r="O105" s="794"/>
      <c r="BE105" s="109"/>
      <c r="BF105" s="109"/>
      <c r="BG105" s="109"/>
      <c r="BH105" s="109"/>
      <c r="BN105" s="69"/>
      <c r="BO105" s="109"/>
      <c r="BP105" s="79">
        <v>23</v>
      </c>
      <c r="BQ105" s="62"/>
      <c r="BR105" s="62"/>
      <c r="BS105" s="62"/>
      <c r="BT105" s="62"/>
      <c r="BU105" s="62"/>
      <c r="BV105" s="62"/>
      <c r="BW105" s="62"/>
      <c r="BX105" s="62"/>
      <c r="BY105" s="62"/>
      <c r="BZ105" s="62"/>
      <c r="CA105" s="62"/>
      <c r="CB105" s="103" t="b">
        <f>IF(CM85=23,12)</f>
        <v>0</v>
      </c>
      <c r="CC105" s="104"/>
      <c r="CD105" s="104"/>
      <c r="CE105" s="104"/>
      <c r="CF105" s="105"/>
      <c r="CG105" s="104"/>
      <c r="CH105" s="115"/>
      <c r="CI105" s="104"/>
      <c r="CJ105" s="116"/>
      <c r="CK105" s="104"/>
      <c r="CL105" s="104"/>
      <c r="CM105" s="104"/>
      <c r="CN105" s="104"/>
      <c r="CO105" s="104"/>
      <c r="CP105" s="104"/>
      <c r="CQ105" s="104"/>
      <c r="CR105" s="104"/>
      <c r="CS105" s="104"/>
      <c r="CT105" s="105"/>
      <c r="CU105" s="106"/>
      <c r="CV105" s="106"/>
      <c r="CW105" s="106"/>
      <c r="CX105" s="107" t="b">
        <f>IF(CM85=23,34)</f>
        <v>0</v>
      </c>
      <c r="CY105" s="60"/>
      <c r="CZ105" s="60"/>
      <c r="DA105" s="60"/>
      <c r="DB105" s="60"/>
      <c r="DC105" s="62"/>
      <c r="DD105" s="62"/>
    </row>
    <row r="106" spans="5:108" ht="21" hidden="1" thickBot="1" x14ac:dyDescent="0.25">
      <c r="E106" s="300"/>
      <c r="F106" s="300"/>
      <c r="G106" s="797"/>
      <c r="H106"/>
      <c r="I106"/>
      <c r="J106"/>
      <c r="K106"/>
      <c r="L106"/>
      <c r="M106"/>
      <c r="N106"/>
      <c r="O106" s="794"/>
      <c r="U106" s="97"/>
      <c r="AB106" s="97"/>
      <c r="AC106" s="97"/>
      <c r="AD106" s="97"/>
      <c r="AE106" s="97"/>
      <c r="BE106" s="109"/>
      <c r="BF106" s="109"/>
      <c r="BG106" s="109"/>
      <c r="BH106" s="109"/>
      <c r="BN106" s="69"/>
      <c r="BO106" s="109"/>
      <c r="BP106" s="79">
        <v>22</v>
      </c>
      <c r="BQ106" s="60"/>
      <c r="BR106" s="60"/>
      <c r="BS106" s="60"/>
      <c r="BT106" s="60"/>
      <c r="BU106" s="60"/>
      <c r="BV106" s="60"/>
      <c r="BW106" s="60"/>
      <c r="BX106" s="60"/>
      <c r="BY106" s="60"/>
      <c r="BZ106" s="60"/>
      <c r="CA106" s="60"/>
      <c r="CB106" s="103" t="b">
        <f>IF(CL85=22,12)</f>
        <v>0</v>
      </c>
      <c r="CC106" s="106"/>
      <c r="CD106" s="106"/>
      <c r="CE106" s="106"/>
      <c r="CF106" s="105"/>
      <c r="CG106" s="106"/>
      <c r="CH106" s="117"/>
      <c r="CI106" s="106"/>
      <c r="CJ106" s="118"/>
      <c r="CK106" s="106"/>
      <c r="CL106" s="106"/>
      <c r="CM106" s="106"/>
      <c r="CN106" s="106"/>
      <c r="CO106" s="104"/>
      <c r="CP106" s="104"/>
      <c r="CQ106" s="105"/>
      <c r="CR106" s="104"/>
      <c r="CS106" s="104"/>
      <c r="CT106" s="104"/>
      <c r="CU106" s="104"/>
      <c r="CV106" s="107" t="b">
        <f>IF(CL85=22,32)</f>
        <v>0</v>
      </c>
      <c r="CW106" s="62"/>
      <c r="CX106" s="62"/>
      <c r="CY106" s="62"/>
      <c r="CZ106" s="62"/>
      <c r="DA106" s="62"/>
      <c r="DB106" s="62"/>
      <c r="DC106" s="62"/>
      <c r="DD106" s="62"/>
    </row>
    <row r="107" spans="5:108" ht="21" hidden="1" thickBot="1" x14ac:dyDescent="0.25">
      <c r="E107" s="300"/>
      <c r="F107" s="300"/>
      <c r="G107" s="797"/>
      <c r="H107"/>
      <c r="I107"/>
      <c r="J107"/>
      <c r="K107"/>
      <c r="L107"/>
      <c r="M107"/>
      <c r="N107"/>
      <c r="O107" s="794"/>
      <c r="BE107" s="109"/>
      <c r="BF107" s="109"/>
      <c r="BG107" s="109"/>
      <c r="BH107" s="109"/>
      <c r="BN107" s="69"/>
      <c r="BO107" s="109"/>
      <c r="BP107" s="79">
        <v>21</v>
      </c>
      <c r="BQ107" s="62"/>
      <c r="BR107" s="62"/>
      <c r="BS107" s="62"/>
      <c r="BT107" s="62"/>
      <c r="BU107" s="62"/>
      <c r="BV107" s="62"/>
      <c r="BW107" s="62"/>
      <c r="BX107" s="62"/>
      <c r="BY107" s="62"/>
      <c r="BZ107" s="62"/>
      <c r="CA107" s="62"/>
      <c r="CB107" s="103" t="b">
        <f>IF(CK85=21,12)</f>
        <v>0</v>
      </c>
      <c r="CC107" s="104"/>
      <c r="CD107" s="104"/>
      <c r="CE107" s="104"/>
      <c r="CF107" s="104"/>
      <c r="CG107" s="104"/>
      <c r="CH107" s="115"/>
      <c r="CI107" s="104"/>
      <c r="CJ107" s="116"/>
      <c r="CK107" s="104"/>
      <c r="CL107" s="104"/>
      <c r="CM107" s="104"/>
      <c r="CN107" s="104"/>
      <c r="CO107" s="104"/>
      <c r="CP107" s="104"/>
      <c r="CQ107" s="104"/>
      <c r="CR107" s="104"/>
      <c r="CS107" s="104"/>
      <c r="CT107" s="107" t="b">
        <f>IF(CK85=21,30)</f>
        <v>0</v>
      </c>
      <c r="CU107" s="60"/>
      <c r="CV107" s="60"/>
      <c r="CW107" s="60"/>
      <c r="CX107" s="60"/>
      <c r="CY107" s="60"/>
      <c r="CZ107" s="60"/>
      <c r="DA107" s="60"/>
      <c r="DB107" s="60"/>
      <c r="DC107" s="62"/>
      <c r="DD107" s="62"/>
    </row>
    <row r="108" spans="5:108" ht="21" hidden="1" thickBot="1" x14ac:dyDescent="0.25">
      <c r="E108" s="300"/>
      <c r="F108" s="300"/>
      <c r="G108" s="797"/>
      <c r="H108"/>
      <c r="I108"/>
      <c r="J108"/>
      <c r="K108"/>
      <c r="L108"/>
      <c r="M108"/>
      <c r="N108"/>
      <c r="O108" s="794"/>
      <c r="T108" s="304"/>
      <c r="BE108" s="119"/>
      <c r="BF108" s="119"/>
      <c r="BG108" s="119"/>
      <c r="BH108" s="119"/>
      <c r="BN108" s="69"/>
      <c r="BO108" s="863"/>
      <c r="BP108" s="79">
        <v>20</v>
      </c>
      <c r="BQ108" s="62"/>
      <c r="BR108" s="62"/>
      <c r="BS108" s="62"/>
      <c r="BT108" s="62"/>
      <c r="BU108" s="62"/>
      <c r="BV108" s="62"/>
      <c r="BW108" s="62"/>
      <c r="BX108" s="62"/>
      <c r="CA108" s="120"/>
      <c r="CB108" s="100" t="b">
        <f>IF(CJ85=20,12)</f>
        <v>0</v>
      </c>
      <c r="CC108" s="94"/>
      <c r="CD108" s="94"/>
      <c r="CE108" s="94"/>
      <c r="CF108" s="94"/>
      <c r="CG108" s="94"/>
      <c r="CH108" s="121"/>
      <c r="CI108" s="94"/>
      <c r="CJ108" s="112"/>
      <c r="CK108" s="94"/>
      <c r="CL108" s="94"/>
      <c r="CM108" s="94"/>
      <c r="CN108" s="94"/>
      <c r="CO108" s="94"/>
      <c r="CP108" s="94"/>
      <c r="CQ108" s="94"/>
      <c r="CR108" s="86" t="b">
        <f>IF(CJ85=20,28)</f>
        <v>0</v>
      </c>
      <c r="CS108" s="120"/>
      <c r="CU108" s="60"/>
      <c r="CV108" s="60"/>
      <c r="CW108" s="60"/>
      <c r="CX108" s="60"/>
      <c r="CY108" s="60"/>
      <c r="CZ108" s="60"/>
      <c r="DA108" s="60"/>
      <c r="DB108" s="60"/>
      <c r="DC108" s="62"/>
      <c r="DD108" s="62"/>
    </row>
    <row r="109" spans="5:108" ht="21" hidden="1" thickBot="1" x14ac:dyDescent="0.25">
      <c r="E109" s="300"/>
      <c r="F109" s="300"/>
      <c r="G109" s="797"/>
      <c r="H109"/>
      <c r="I109"/>
      <c r="J109"/>
      <c r="K109"/>
      <c r="L109"/>
      <c r="M109"/>
      <c r="N109"/>
      <c r="O109" s="794"/>
      <c r="U109" s="97"/>
      <c r="AB109" s="97"/>
      <c r="AC109" s="97"/>
      <c r="AD109" s="97"/>
      <c r="AE109" s="97"/>
      <c r="BE109" s="119"/>
      <c r="BF109" s="119"/>
      <c r="BG109" s="119"/>
      <c r="BH109" s="119"/>
      <c r="BN109" s="69"/>
      <c r="BO109" s="863"/>
      <c r="BP109" s="79">
        <v>19</v>
      </c>
      <c r="BQ109" s="62"/>
      <c r="BR109" s="62"/>
      <c r="BS109" s="62"/>
      <c r="BT109" s="62"/>
      <c r="BU109" s="62"/>
      <c r="BV109" s="62"/>
      <c r="BW109" s="62"/>
      <c r="BX109" s="62"/>
      <c r="BZ109" s="122"/>
      <c r="CA109" s="122"/>
      <c r="CB109" s="100" t="b">
        <f>IF(CI85=19,12)</f>
        <v>0</v>
      </c>
      <c r="CC109" s="102"/>
      <c r="CD109" s="102"/>
      <c r="CE109" s="101"/>
      <c r="CF109" s="102"/>
      <c r="CG109" s="102"/>
      <c r="CH109" s="123"/>
      <c r="CI109" s="102"/>
      <c r="CJ109" s="124"/>
      <c r="CK109" s="101"/>
      <c r="CL109" s="102"/>
      <c r="CM109" s="102"/>
      <c r="CN109" s="102"/>
      <c r="CO109" s="94"/>
      <c r="CP109" s="86" t="b">
        <f>IF(CI85=19,26)</f>
        <v>0</v>
      </c>
      <c r="CQ109" s="125"/>
      <c r="CR109" s="120"/>
      <c r="CT109" s="62"/>
      <c r="CU109" s="62"/>
      <c r="CV109" s="62"/>
      <c r="CW109" s="62"/>
      <c r="CX109" s="62"/>
      <c r="CY109" s="62"/>
      <c r="CZ109" s="62"/>
      <c r="DA109" s="62"/>
      <c r="DB109" s="62"/>
      <c r="DC109" s="62"/>
      <c r="DD109" s="62"/>
    </row>
    <row r="110" spans="5:108" ht="21" hidden="1" thickBot="1" x14ac:dyDescent="0.25">
      <c r="E110" s="300"/>
      <c r="F110" s="300"/>
      <c r="G110" s="797"/>
      <c r="H110"/>
      <c r="I110"/>
      <c r="J110"/>
      <c r="K110"/>
      <c r="L110"/>
      <c r="M110"/>
      <c r="N110"/>
      <c r="O110" s="794"/>
      <c r="U110" s="97"/>
      <c r="AB110" s="97"/>
      <c r="AC110" s="97"/>
      <c r="AD110" s="97"/>
      <c r="AE110" s="97"/>
      <c r="BE110" s="119"/>
      <c r="BF110" s="119"/>
      <c r="BG110" s="119"/>
      <c r="BH110" s="119"/>
      <c r="BN110" s="69"/>
      <c r="BO110" s="863"/>
      <c r="BP110" s="79">
        <v>18</v>
      </c>
      <c r="BQ110" s="60"/>
      <c r="BR110" s="60"/>
      <c r="BS110" s="60"/>
      <c r="BT110" s="60"/>
      <c r="BU110" s="60"/>
      <c r="BV110" s="60"/>
      <c r="BW110" s="60"/>
      <c r="BX110" s="60"/>
      <c r="BZ110" s="100" t="b">
        <f>IF(CH85=18,10)</f>
        <v>0</v>
      </c>
      <c r="CA110" s="102"/>
      <c r="CB110" s="102"/>
      <c r="CC110" s="102"/>
      <c r="CD110" s="102"/>
      <c r="CE110" s="101"/>
      <c r="CF110" s="102"/>
      <c r="CG110" s="102"/>
      <c r="CH110" s="123"/>
      <c r="CI110" s="102"/>
      <c r="CJ110" s="124"/>
      <c r="CK110" s="101"/>
      <c r="CL110" s="102"/>
      <c r="CM110" s="102"/>
      <c r="CN110" s="102"/>
      <c r="CO110" s="94"/>
      <c r="CP110" s="86" t="b">
        <f>IF(CH85=18,26)</f>
        <v>0</v>
      </c>
      <c r="CR110" s="62"/>
      <c r="CS110" s="62"/>
      <c r="CT110" s="62"/>
      <c r="CU110" s="62"/>
      <c r="CV110" s="62"/>
      <c r="CW110" s="62"/>
      <c r="CX110" s="62"/>
      <c r="CY110" s="62"/>
      <c r="CZ110" s="62"/>
      <c r="DA110" s="62"/>
      <c r="DB110" s="62"/>
      <c r="DC110" s="62"/>
      <c r="DD110" s="62"/>
    </row>
    <row r="111" spans="5:108" ht="21" hidden="1" thickBot="1" x14ac:dyDescent="0.25">
      <c r="E111" s="300"/>
      <c r="F111" s="300"/>
      <c r="G111" s="797"/>
      <c r="H111"/>
      <c r="I111"/>
      <c r="J111"/>
      <c r="K111"/>
      <c r="L111"/>
      <c r="M111"/>
      <c r="N111"/>
      <c r="O111" s="794"/>
      <c r="U111" s="97"/>
      <c r="AB111" s="97"/>
      <c r="AC111" s="97"/>
      <c r="AD111" s="97"/>
      <c r="AE111" s="97"/>
      <c r="BE111" s="119"/>
      <c r="BF111" s="119"/>
      <c r="BG111" s="119"/>
      <c r="BH111" s="119"/>
      <c r="BN111" s="69"/>
      <c r="BO111" s="863"/>
      <c r="BP111" s="79">
        <v>17</v>
      </c>
      <c r="BQ111" s="60"/>
      <c r="BR111" s="60"/>
      <c r="BS111" s="60"/>
      <c r="BT111" s="60"/>
      <c r="BU111" s="60"/>
      <c r="BV111" s="60"/>
      <c r="BW111" s="60"/>
      <c r="BX111" s="100">
        <f>IF(CG85=17,8)</f>
        <v>8</v>
      </c>
      <c r="BY111" s="101"/>
      <c r="BZ111" s="101"/>
      <c r="CA111" s="102"/>
      <c r="CB111" s="102"/>
      <c r="CC111" s="102"/>
      <c r="CD111" s="102"/>
      <c r="CE111" s="102"/>
      <c r="CF111" s="102"/>
      <c r="CG111" s="102"/>
      <c r="CH111" s="123"/>
      <c r="CI111" s="102"/>
      <c r="CJ111" s="124"/>
      <c r="CK111" s="102"/>
      <c r="CL111" s="102"/>
      <c r="CM111" s="102"/>
      <c r="CN111" s="101"/>
      <c r="CO111" s="101"/>
      <c r="CP111" s="86">
        <f>IF(CG85=17,26)</f>
        <v>26</v>
      </c>
      <c r="CQ111" s="62"/>
      <c r="CR111" s="62"/>
      <c r="CS111" s="62"/>
      <c r="CT111" s="62"/>
      <c r="CU111" s="62"/>
      <c r="CV111" s="62"/>
      <c r="CW111" s="62"/>
      <c r="CX111" s="62"/>
      <c r="CY111" s="62"/>
      <c r="CZ111" s="62"/>
      <c r="DA111" s="62"/>
      <c r="DB111" s="62"/>
      <c r="DC111" s="62"/>
      <c r="DD111" s="62"/>
    </row>
    <row r="112" spans="5:108" ht="21" hidden="1" thickBot="1" x14ac:dyDescent="0.25">
      <c r="E112" s="300"/>
      <c r="F112" s="300"/>
      <c r="G112" s="797"/>
      <c r="H112"/>
      <c r="I112"/>
      <c r="J112"/>
      <c r="K112"/>
      <c r="L112"/>
      <c r="M112"/>
      <c r="N112"/>
      <c r="O112" s="794"/>
      <c r="U112" s="97"/>
      <c r="AB112" s="97"/>
      <c r="AC112" s="97"/>
      <c r="AD112" s="97"/>
      <c r="AE112" s="97"/>
      <c r="BE112" s="119"/>
      <c r="BF112" s="119"/>
      <c r="BG112" s="119"/>
      <c r="BH112" s="119"/>
      <c r="BN112" s="69"/>
      <c r="BO112" s="863"/>
      <c r="BP112" s="79">
        <v>16</v>
      </c>
      <c r="BQ112" s="60"/>
      <c r="BR112" s="60"/>
      <c r="BS112" s="60"/>
      <c r="BT112" s="60"/>
      <c r="BU112" s="60"/>
      <c r="BV112" s="128" t="b">
        <f>IF(CF85=16,6)</f>
        <v>0</v>
      </c>
      <c r="BW112" s="129"/>
      <c r="BX112" s="130"/>
      <c r="BY112" s="130"/>
      <c r="BZ112" s="129"/>
      <c r="CA112" s="129"/>
      <c r="CB112" s="129"/>
      <c r="CC112" s="129"/>
      <c r="CD112" s="129"/>
      <c r="CE112" s="129"/>
      <c r="CF112" s="129"/>
      <c r="CG112" s="129"/>
      <c r="CH112" s="131"/>
      <c r="CI112" s="129"/>
      <c r="CJ112" s="132"/>
      <c r="CK112" s="129"/>
      <c r="CL112" s="129"/>
      <c r="CM112" s="130"/>
      <c r="CN112" s="130"/>
      <c r="CO112" s="133"/>
      <c r="CP112" s="134" t="b">
        <f>IF(CF85=16,26)</f>
        <v>0</v>
      </c>
      <c r="CQ112" s="62"/>
      <c r="CR112" s="62"/>
      <c r="CS112" s="62"/>
      <c r="CT112" s="62"/>
      <c r="CU112" s="62"/>
      <c r="CV112" s="62"/>
      <c r="CW112" s="62"/>
      <c r="CX112" s="62"/>
      <c r="CY112" s="62"/>
      <c r="CZ112" s="62"/>
      <c r="DA112" s="62"/>
      <c r="DB112" s="62"/>
      <c r="DC112" s="62"/>
      <c r="DD112" s="62"/>
    </row>
    <row r="113" spans="2:108" ht="21" hidden="1" thickBot="1" x14ac:dyDescent="0.25">
      <c r="E113" s="300"/>
      <c r="F113" s="300"/>
      <c r="G113" s="797"/>
      <c r="H113"/>
      <c r="I113"/>
      <c r="J113"/>
      <c r="K113"/>
      <c r="L113"/>
      <c r="M113"/>
      <c r="N113"/>
      <c r="O113" s="794"/>
      <c r="U113" s="97"/>
      <c r="AB113" s="97"/>
      <c r="AC113" s="97"/>
      <c r="AD113" s="97"/>
      <c r="AE113" s="97"/>
      <c r="BE113" s="119"/>
      <c r="BF113" s="119"/>
      <c r="BG113" s="119"/>
      <c r="BH113" s="119"/>
      <c r="BN113" s="69"/>
      <c r="BO113" s="863"/>
      <c r="BP113" s="79">
        <v>15</v>
      </c>
      <c r="BQ113" s="60"/>
      <c r="BR113" s="60"/>
      <c r="BS113" s="60"/>
      <c r="BT113" s="100" t="b">
        <f>IF(CE85=15,4)</f>
        <v>0</v>
      </c>
      <c r="BU113" s="102"/>
      <c r="BV113" s="102"/>
      <c r="BW113" s="102"/>
      <c r="BX113" s="101"/>
      <c r="BY113" s="102"/>
      <c r="BZ113" s="102"/>
      <c r="CA113" s="101"/>
      <c r="CB113" s="102"/>
      <c r="CC113" s="102"/>
      <c r="CD113" s="102"/>
      <c r="CE113" s="102"/>
      <c r="CF113" s="102"/>
      <c r="CG113" s="102"/>
      <c r="CH113" s="123"/>
      <c r="CI113" s="101"/>
      <c r="CJ113" s="124"/>
      <c r="CK113" s="102"/>
      <c r="CL113" s="101"/>
      <c r="CM113" s="102"/>
      <c r="CN113" s="102"/>
      <c r="CO113" s="94"/>
      <c r="CP113" s="86" t="b">
        <f>IF(CE85=15,26)</f>
        <v>0</v>
      </c>
      <c r="CQ113" s="62"/>
      <c r="CR113" s="62"/>
      <c r="CS113" s="62"/>
      <c r="CT113" s="62"/>
      <c r="CU113" s="62"/>
      <c r="CV113" s="62"/>
      <c r="CW113" s="62"/>
      <c r="CX113" s="62"/>
      <c r="CY113" s="62"/>
      <c r="CZ113" s="62"/>
      <c r="DA113" s="62"/>
      <c r="DB113" s="62"/>
      <c r="DC113" s="62"/>
      <c r="DD113" s="62"/>
    </row>
    <row r="114" spans="2:108" ht="21" hidden="1" thickBot="1" x14ac:dyDescent="0.25">
      <c r="E114" s="300"/>
      <c r="F114" s="300"/>
      <c r="G114" s="797"/>
      <c r="H114"/>
      <c r="I114"/>
      <c r="J114"/>
      <c r="K114"/>
      <c r="L114"/>
      <c r="M114"/>
      <c r="N114"/>
      <c r="O114" s="794"/>
      <c r="U114" s="97"/>
      <c r="AB114" s="97"/>
      <c r="AC114" s="97"/>
      <c r="AD114" s="97"/>
      <c r="AE114" s="97"/>
      <c r="BE114" s="119"/>
      <c r="BF114" s="119"/>
      <c r="BG114" s="119"/>
      <c r="BH114" s="119"/>
      <c r="BN114" s="69"/>
      <c r="BO114" s="863"/>
      <c r="BP114" s="79">
        <v>14</v>
      </c>
      <c r="BQ114" s="60"/>
      <c r="BR114" s="100" t="b">
        <f>IF(CD85=14,2)</f>
        <v>0</v>
      </c>
      <c r="BS114" s="102"/>
      <c r="BT114" s="102"/>
      <c r="BU114" s="102"/>
      <c r="BV114" s="101"/>
      <c r="BW114" s="102"/>
      <c r="BX114" s="102"/>
      <c r="BY114" s="101"/>
      <c r="BZ114" s="102"/>
      <c r="CA114" s="102"/>
      <c r="CB114" s="102"/>
      <c r="CC114" s="102"/>
      <c r="CD114" s="102"/>
      <c r="CE114" s="102"/>
      <c r="CF114" s="102"/>
      <c r="CG114" s="102"/>
      <c r="CH114" s="123"/>
      <c r="CI114" s="101"/>
      <c r="CJ114" s="124"/>
      <c r="CK114" s="102"/>
      <c r="CL114" s="101"/>
      <c r="CM114" s="102"/>
      <c r="CN114" s="102"/>
      <c r="CO114" s="94"/>
      <c r="CP114" s="86" t="b">
        <f>IF(CD85=14,26)</f>
        <v>0</v>
      </c>
      <c r="CQ114" s="62"/>
      <c r="CR114" s="62"/>
      <c r="CS114" s="62"/>
      <c r="CT114" s="62"/>
      <c r="CU114" s="62"/>
      <c r="CV114" s="62"/>
      <c r="CW114" s="62"/>
      <c r="CX114" s="62"/>
      <c r="CY114" s="62"/>
      <c r="CZ114" s="62"/>
      <c r="DA114" s="62"/>
      <c r="DB114" s="62"/>
      <c r="DC114" s="62"/>
      <c r="DD114" s="62"/>
    </row>
    <row r="115" spans="2:108" ht="21" hidden="1" thickBot="1" x14ac:dyDescent="0.25">
      <c r="E115" s="300"/>
      <c r="F115" s="300"/>
      <c r="G115" s="797"/>
      <c r="H115"/>
      <c r="I115"/>
      <c r="J115"/>
      <c r="K115"/>
      <c r="L115"/>
      <c r="M115"/>
      <c r="N115"/>
      <c r="O115" s="794"/>
      <c r="U115" s="97"/>
      <c r="AB115" s="97"/>
      <c r="AC115" s="97"/>
      <c r="AD115" s="97"/>
      <c r="AE115" s="97"/>
      <c r="BE115" s="119"/>
      <c r="BF115" s="119"/>
      <c r="BG115" s="119"/>
      <c r="BH115" s="119"/>
      <c r="BN115" s="69"/>
      <c r="BO115" s="863"/>
      <c r="BP115" s="79">
        <v>13</v>
      </c>
      <c r="BQ115" s="60"/>
      <c r="BR115" s="60"/>
      <c r="BS115" s="60"/>
      <c r="BU115" s="135"/>
      <c r="BV115" s="135"/>
      <c r="BW115" s="74"/>
      <c r="BX115" s="135"/>
      <c r="BY115" s="103" t="b">
        <f>IF(CC85=13,9)</f>
        <v>0</v>
      </c>
      <c r="BZ115" s="106"/>
      <c r="CA115" s="106"/>
      <c r="CB115" s="106"/>
      <c r="CC115" s="106"/>
      <c r="CD115" s="106"/>
      <c r="CE115" s="106"/>
      <c r="CF115" s="106"/>
      <c r="CG115" s="107" t="b">
        <f>IF(CC85=13,17)</f>
        <v>0</v>
      </c>
      <c r="CH115" s="136"/>
      <c r="CI115" s="74"/>
      <c r="CJ115" s="137"/>
      <c r="CK115" s="135"/>
      <c r="CM115" s="60"/>
      <c r="CN115" s="60"/>
      <c r="CO115" s="62"/>
      <c r="CP115" s="62"/>
      <c r="CQ115" s="62"/>
      <c r="CR115" s="62"/>
      <c r="CS115" s="62"/>
      <c r="CT115" s="62"/>
      <c r="CU115" s="62"/>
      <c r="CV115" s="62"/>
      <c r="CW115" s="62"/>
      <c r="CX115" s="62"/>
      <c r="CY115" s="62"/>
      <c r="CZ115" s="62"/>
      <c r="DA115" s="62"/>
      <c r="DB115" s="62"/>
      <c r="DC115" s="62"/>
      <c r="DD115" s="62"/>
    </row>
    <row r="116" spans="2:108" ht="21" hidden="1" thickBot="1" x14ac:dyDescent="0.25">
      <c r="D116" s="300"/>
      <c r="E116" s="300"/>
      <c r="F116" s="300"/>
      <c r="G116" s="797"/>
      <c r="H116"/>
      <c r="I116"/>
      <c r="J116"/>
      <c r="K116"/>
      <c r="L116"/>
      <c r="M116"/>
      <c r="N116"/>
      <c r="O116" s="794"/>
      <c r="U116" s="97"/>
      <c r="AB116" s="97"/>
      <c r="AC116" s="97"/>
      <c r="AD116" s="97"/>
      <c r="AE116" s="97"/>
      <c r="BE116" s="119"/>
      <c r="BF116" s="119"/>
      <c r="BG116" s="119"/>
      <c r="BH116" s="119"/>
      <c r="BN116" s="69"/>
      <c r="BO116" s="863"/>
      <c r="BP116" s="79">
        <v>12</v>
      </c>
      <c r="BQ116" s="60"/>
      <c r="BS116" s="122"/>
      <c r="BT116" s="122"/>
      <c r="BU116" s="125"/>
      <c r="BV116" s="122"/>
      <c r="BW116" s="100" t="b">
        <f>IF(CB85=12,7)</f>
        <v>0</v>
      </c>
      <c r="BX116" s="102"/>
      <c r="BY116" s="102"/>
      <c r="BZ116" s="102"/>
      <c r="CA116" s="102"/>
      <c r="CB116" s="102"/>
      <c r="CC116" s="102"/>
      <c r="CD116" s="102"/>
      <c r="CE116" s="102"/>
      <c r="CF116" s="102"/>
      <c r="CG116" s="86" t="b">
        <f>IF(CB85=12,17)</f>
        <v>0</v>
      </c>
      <c r="CH116" s="138"/>
      <c r="CI116" s="125"/>
      <c r="CJ116" s="139"/>
      <c r="CK116" s="122"/>
      <c r="CM116" s="60"/>
      <c r="CN116" s="60"/>
      <c r="CO116" s="62"/>
      <c r="CP116" s="62"/>
      <c r="CQ116" s="62"/>
      <c r="CR116" s="62"/>
      <c r="CS116" s="62"/>
      <c r="CT116" s="62"/>
      <c r="CU116" s="62"/>
      <c r="CV116" s="62"/>
      <c r="CW116" s="62"/>
      <c r="CX116" s="62"/>
      <c r="CY116" s="62"/>
      <c r="CZ116" s="62"/>
      <c r="DA116" s="62"/>
      <c r="DB116" s="62"/>
      <c r="DC116" s="62"/>
      <c r="DD116" s="62"/>
    </row>
    <row r="117" spans="2:108" ht="21" hidden="1" thickBot="1" x14ac:dyDescent="0.25">
      <c r="D117" s="300"/>
      <c r="E117" s="300"/>
      <c r="F117" s="300"/>
      <c r="G117" s="797"/>
      <c r="H117"/>
      <c r="I117"/>
      <c r="J117"/>
      <c r="K117"/>
      <c r="L117"/>
      <c r="M117"/>
      <c r="N117"/>
      <c r="O117" s="794"/>
      <c r="U117" s="97"/>
      <c r="AB117" s="97"/>
      <c r="AC117" s="97"/>
      <c r="AD117" s="97"/>
      <c r="AE117" s="97"/>
      <c r="BE117" s="119"/>
      <c r="BF117" s="119"/>
      <c r="BG117" s="119"/>
      <c r="BH117" s="119"/>
      <c r="BN117" s="69"/>
      <c r="BO117" s="863"/>
      <c r="BP117" s="79">
        <v>11</v>
      </c>
      <c r="BR117" s="135"/>
      <c r="BS117" s="74"/>
      <c r="BT117" s="135"/>
      <c r="BU117" s="100" t="b">
        <f>IF(CA85=11,5)</f>
        <v>0</v>
      </c>
      <c r="BV117" s="102"/>
      <c r="BW117" s="102"/>
      <c r="BX117" s="102"/>
      <c r="BY117" s="102"/>
      <c r="BZ117" s="102"/>
      <c r="CA117" s="102"/>
      <c r="CB117" s="102"/>
      <c r="CC117" s="102"/>
      <c r="CD117" s="102"/>
      <c r="CE117" s="102"/>
      <c r="CF117" s="102"/>
      <c r="CG117" s="86" t="b">
        <f>IF(CA85=11,17)</f>
        <v>0</v>
      </c>
      <c r="CH117" s="136"/>
      <c r="CI117" s="74"/>
      <c r="CJ117" s="137"/>
      <c r="CL117" s="60"/>
      <c r="CM117" s="60"/>
      <c r="CN117" s="60"/>
      <c r="CO117" s="62"/>
      <c r="CP117" s="62"/>
      <c r="CQ117" s="62"/>
      <c r="CR117" s="62"/>
      <c r="CS117" s="62"/>
      <c r="CT117" s="62"/>
      <c r="CU117" s="62"/>
      <c r="CV117" s="62"/>
      <c r="CW117" s="62"/>
      <c r="CX117" s="62"/>
      <c r="CY117" s="62"/>
      <c r="CZ117" s="62"/>
      <c r="DA117" s="62"/>
      <c r="DB117" s="62"/>
      <c r="DC117" s="62"/>
      <c r="DD117" s="62"/>
    </row>
    <row r="118" spans="2:108" ht="21" hidden="1" thickBot="1" x14ac:dyDescent="0.25">
      <c r="B118" s="302"/>
      <c r="C118" s="302"/>
      <c r="D118" s="300"/>
      <c r="E118" s="300"/>
      <c r="F118" s="300"/>
      <c r="G118" s="797"/>
      <c r="H118"/>
      <c r="I118"/>
      <c r="J118"/>
      <c r="K118"/>
      <c r="L118"/>
      <c r="M118"/>
      <c r="N118"/>
      <c r="O118" s="794"/>
      <c r="U118" s="97"/>
      <c r="AB118" s="97"/>
      <c r="AC118" s="97"/>
      <c r="AD118" s="97"/>
      <c r="AE118" s="97"/>
      <c r="BE118" s="119"/>
      <c r="BF118" s="119"/>
      <c r="BG118" s="119"/>
      <c r="BH118" s="119"/>
      <c r="BN118" s="69"/>
      <c r="BO118" s="863"/>
      <c r="BP118" s="79">
        <v>10</v>
      </c>
      <c r="BR118" s="135"/>
      <c r="BS118" s="100" t="b">
        <f>IF(BZ85=10,3)</f>
        <v>0</v>
      </c>
      <c r="BT118" s="102"/>
      <c r="BU118" s="102"/>
      <c r="BV118" s="102"/>
      <c r="BW118" s="102"/>
      <c r="BX118" s="102"/>
      <c r="BY118" s="102"/>
      <c r="BZ118" s="102"/>
      <c r="CA118" s="102"/>
      <c r="CB118" s="102"/>
      <c r="CC118" s="102"/>
      <c r="CD118" s="102"/>
      <c r="CE118" s="102"/>
      <c r="CF118" s="102"/>
      <c r="CG118" s="86" t="b">
        <f>IF(BZ85=10,17)</f>
        <v>0</v>
      </c>
      <c r="CH118" s="136"/>
      <c r="CJ118" s="140"/>
      <c r="CK118" s="60"/>
      <c r="CL118" s="60"/>
      <c r="CM118" s="60"/>
      <c r="CN118" s="60"/>
      <c r="CO118" s="62"/>
      <c r="CP118" s="62"/>
      <c r="CQ118" s="62"/>
      <c r="CR118" s="62"/>
      <c r="CS118" s="62"/>
      <c r="CT118" s="62"/>
      <c r="CU118" s="62"/>
      <c r="CV118" s="62"/>
      <c r="CW118" s="62"/>
      <c r="CX118" s="62"/>
      <c r="CY118" s="62"/>
      <c r="CZ118" s="62"/>
      <c r="DA118" s="62"/>
      <c r="DB118" s="62"/>
      <c r="DC118" s="62"/>
      <c r="DD118" s="62"/>
    </row>
    <row r="119" spans="2:108" ht="21" hidden="1" thickBot="1" x14ac:dyDescent="0.25">
      <c r="B119" s="302"/>
      <c r="C119" s="302"/>
      <c r="D119" s="300"/>
      <c r="E119" s="300"/>
      <c r="F119" s="300"/>
      <c r="G119" s="797"/>
      <c r="H119"/>
      <c r="I119"/>
      <c r="J119"/>
      <c r="K119"/>
      <c r="L119"/>
      <c r="M119"/>
      <c r="N119"/>
      <c r="O119" s="794"/>
      <c r="U119" s="97"/>
      <c r="AB119" s="97"/>
      <c r="AC119" s="97"/>
      <c r="AD119" s="97"/>
      <c r="AE119" s="97"/>
      <c r="BF119" s="119"/>
      <c r="BG119" s="119"/>
      <c r="BH119" s="119"/>
      <c r="BN119" s="69"/>
      <c r="BO119" s="863"/>
      <c r="BP119" s="79">
        <v>9</v>
      </c>
      <c r="BQ119" s="100" t="b">
        <f>IF(BY85=9,1)</f>
        <v>0</v>
      </c>
      <c r="BR119" s="102"/>
      <c r="BS119" s="102"/>
      <c r="BT119" s="102"/>
      <c r="BU119" s="102"/>
      <c r="BV119" s="102"/>
      <c r="BW119" s="102"/>
      <c r="BX119" s="102"/>
      <c r="BY119" s="102"/>
      <c r="BZ119" s="102"/>
      <c r="CA119" s="102"/>
      <c r="CB119" s="102"/>
      <c r="CC119" s="102"/>
      <c r="CD119" s="102"/>
      <c r="CE119" s="102"/>
      <c r="CF119" s="102"/>
      <c r="CG119" s="86" t="b">
        <f>IF(BY85=9,17)</f>
        <v>0</v>
      </c>
      <c r="CH119" s="60"/>
      <c r="CI119" s="60"/>
      <c r="CJ119" s="140"/>
      <c r="CK119" s="60"/>
      <c r="CL119" s="60"/>
      <c r="CM119" s="60"/>
      <c r="CN119" s="60"/>
      <c r="CO119" s="62"/>
      <c r="CP119" s="62"/>
      <c r="CQ119" s="62"/>
      <c r="CR119" s="62"/>
      <c r="CS119" s="62"/>
      <c r="CT119" s="62"/>
      <c r="CU119" s="62"/>
      <c r="CV119" s="62"/>
      <c r="CW119" s="62"/>
      <c r="CX119" s="62"/>
      <c r="CY119" s="62"/>
      <c r="CZ119" s="62"/>
      <c r="DA119" s="62"/>
      <c r="DB119" s="62"/>
      <c r="DC119" s="62"/>
      <c r="DD119" s="62"/>
    </row>
    <row r="120" spans="2:108" ht="21" hidden="1" thickBot="1" x14ac:dyDescent="0.25">
      <c r="B120" s="304"/>
      <c r="E120" s="300"/>
      <c r="F120" s="300"/>
      <c r="G120" s="797"/>
      <c r="H120"/>
      <c r="I120"/>
      <c r="J120"/>
      <c r="K120"/>
      <c r="L120"/>
      <c r="M120"/>
      <c r="N120"/>
      <c r="O120" s="794"/>
      <c r="U120" s="97"/>
      <c r="AB120" s="97"/>
      <c r="AC120" s="97"/>
      <c r="AD120" s="97"/>
      <c r="AE120" s="97"/>
      <c r="BE120" s="119"/>
      <c r="BF120" s="119"/>
      <c r="BG120" s="119"/>
      <c r="BH120" s="119"/>
      <c r="BN120" s="69"/>
      <c r="BO120" s="863"/>
      <c r="BP120" s="79">
        <v>8</v>
      </c>
      <c r="BQ120" s="100" t="b">
        <f>IF(BX85=8,1)</f>
        <v>0</v>
      </c>
      <c r="BR120" s="102"/>
      <c r="BS120" s="101"/>
      <c r="BT120" s="102"/>
      <c r="BU120" s="102"/>
      <c r="BV120" s="102"/>
      <c r="BW120" s="102"/>
      <c r="BX120" s="102"/>
      <c r="BY120" s="102"/>
      <c r="BZ120" s="102"/>
      <c r="CA120" s="102"/>
      <c r="CB120" s="102"/>
      <c r="CC120" s="101"/>
      <c r="CD120" s="102"/>
      <c r="CE120" s="86" t="b">
        <f>IF(BX85=8,15)</f>
        <v>0</v>
      </c>
      <c r="CF120" s="60"/>
      <c r="CG120" s="60"/>
      <c r="CH120" s="141"/>
      <c r="CI120" s="60"/>
      <c r="CJ120" s="140"/>
      <c r="CK120" s="60"/>
      <c r="CL120" s="60"/>
      <c r="CM120" s="60"/>
      <c r="CN120" s="60"/>
      <c r="CO120" s="62"/>
      <c r="CP120" s="62"/>
      <c r="CQ120" s="62"/>
      <c r="CR120" s="62"/>
      <c r="CS120" s="62"/>
      <c r="CT120" s="62"/>
      <c r="CU120" s="62"/>
      <c r="CV120" s="62"/>
      <c r="CW120" s="62"/>
      <c r="CX120" s="62"/>
      <c r="CY120" s="62"/>
      <c r="CZ120" s="62"/>
      <c r="DA120" s="62"/>
      <c r="DB120" s="62"/>
      <c r="DC120" s="62"/>
      <c r="DD120" s="62"/>
    </row>
    <row r="121" spans="2:108" ht="21" hidden="1" thickBot="1" x14ac:dyDescent="0.25">
      <c r="B121" s="302"/>
      <c r="C121" s="302"/>
      <c r="D121" s="300"/>
      <c r="E121" s="300"/>
      <c r="F121" s="300"/>
      <c r="G121" s="797"/>
      <c r="H121"/>
      <c r="I121"/>
      <c r="J121"/>
      <c r="K121"/>
      <c r="L121"/>
      <c r="M121"/>
      <c r="N121"/>
      <c r="O121" s="794"/>
      <c r="U121" s="97"/>
      <c r="AB121" s="97"/>
      <c r="AC121" s="97"/>
      <c r="AD121" s="97"/>
      <c r="AE121" s="97"/>
      <c r="BF121" s="119"/>
      <c r="BG121" s="119"/>
      <c r="BH121" s="119"/>
      <c r="BN121" s="69"/>
      <c r="BO121" s="863"/>
      <c r="BP121" s="79">
        <v>7</v>
      </c>
      <c r="BQ121" s="100" t="b">
        <f>IF(BW85=7,1)</f>
        <v>0</v>
      </c>
      <c r="BR121" s="101"/>
      <c r="BS121" s="102"/>
      <c r="BT121" s="102"/>
      <c r="BU121" s="102"/>
      <c r="BV121" s="102"/>
      <c r="BW121" s="102"/>
      <c r="BX121" s="102"/>
      <c r="BY121" s="102"/>
      <c r="BZ121" s="102"/>
      <c r="CA121" s="101"/>
      <c r="CB121" s="101"/>
      <c r="CC121" s="86" t="b">
        <f>IF(BW85=7,13)</f>
        <v>0</v>
      </c>
      <c r="CD121" s="60"/>
      <c r="CE121" s="60"/>
      <c r="CF121" s="60"/>
      <c r="CG121" s="60"/>
      <c r="CH121" s="141"/>
      <c r="CI121" s="60"/>
      <c r="CJ121" s="140"/>
      <c r="CK121" s="60"/>
      <c r="CL121" s="60"/>
      <c r="CM121" s="60"/>
      <c r="CN121" s="60"/>
      <c r="CO121" s="62"/>
      <c r="CP121" s="62"/>
      <c r="CQ121" s="62"/>
      <c r="CR121" s="62"/>
      <c r="CS121" s="62"/>
      <c r="CT121" s="62"/>
      <c r="CU121" s="62"/>
      <c r="CV121" s="62"/>
      <c r="CW121" s="62"/>
      <c r="CX121" s="62"/>
      <c r="CY121" s="62"/>
      <c r="CZ121" s="62"/>
      <c r="DA121" s="62"/>
      <c r="DB121" s="62"/>
      <c r="DC121" s="62"/>
      <c r="DD121" s="62"/>
    </row>
    <row r="122" spans="2:108" ht="21" hidden="1" thickBot="1" x14ac:dyDescent="0.25">
      <c r="B122" s="302"/>
      <c r="C122" s="302"/>
      <c r="D122" s="300"/>
      <c r="E122" s="300"/>
      <c r="F122" s="300"/>
      <c r="G122" s="797"/>
      <c r="H122"/>
      <c r="I122"/>
      <c r="J122"/>
      <c r="K122"/>
      <c r="L122"/>
      <c r="M122"/>
      <c r="N122"/>
      <c r="O122" s="794"/>
      <c r="U122" s="97"/>
      <c r="AB122" s="97"/>
      <c r="AC122" s="97"/>
      <c r="AD122" s="97"/>
      <c r="AE122" s="97"/>
      <c r="BF122" s="119"/>
      <c r="BG122" s="119"/>
      <c r="BH122" s="119"/>
      <c r="BN122" s="69"/>
      <c r="BO122" s="863"/>
      <c r="BP122" s="79">
        <v>6</v>
      </c>
      <c r="BQ122" s="103" t="b">
        <f>IF(BV85=6,1)</f>
        <v>0</v>
      </c>
      <c r="BR122" s="106"/>
      <c r="BS122" s="106"/>
      <c r="BT122" s="106"/>
      <c r="BU122" s="106"/>
      <c r="BV122" s="106"/>
      <c r="BW122" s="106"/>
      <c r="BX122" s="106"/>
      <c r="BY122" s="106"/>
      <c r="BZ122" s="106"/>
      <c r="CA122" s="107" t="b">
        <f>IF(BV85=6,11)</f>
        <v>0</v>
      </c>
      <c r="CB122" s="60"/>
      <c r="CC122" s="60"/>
      <c r="CD122" s="60"/>
      <c r="CE122" s="60"/>
      <c r="CF122" s="60"/>
      <c r="CG122" s="60"/>
      <c r="CH122" s="141"/>
      <c r="CI122" s="60"/>
      <c r="CJ122" s="140"/>
      <c r="CK122" s="60"/>
      <c r="CL122" s="60"/>
      <c r="CM122" s="60"/>
      <c r="CN122" s="60"/>
      <c r="CO122" s="62"/>
      <c r="CP122" s="62"/>
      <c r="CQ122" s="62"/>
      <c r="CR122" s="62"/>
      <c r="CS122" s="62"/>
      <c r="CT122" s="62"/>
      <c r="CU122" s="62"/>
      <c r="CV122" s="62"/>
      <c r="CW122" s="62"/>
      <c r="CX122" s="62"/>
      <c r="CY122" s="62"/>
      <c r="CZ122" s="62"/>
      <c r="DA122" s="62"/>
      <c r="DB122" s="62"/>
      <c r="DC122" s="62"/>
      <c r="DD122" s="62"/>
    </row>
    <row r="123" spans="2:108" ht="21" hidden="1" thickBot="1" x14ac:dyDescent="0.25">
      <c r="B123" s="12"/>
      <c r="C123" s="302"/>
      <c r="D123" s="300"/>
      <c r="E123" s="12"/>
      <c r="F123" s="300"/>
      <c r="G123" s="797"/>
      <c r="H123"/>
      <c r="I123"/>
      <c r="J123"/>
      <c r="K123"/>
      <c r="L123"/>
      <c r="M123"/>
      <c r="N123"/>
      <c r="O123" s="794"/>
      <c r="U123" s="97"/>
      <c r="AB123" s="97"/>
      <c r="AC123" s="97"/>
      <c r="AD123" s="97"/>
      <c r="AE123" s="97"/>
      <c r="BE123" s="119"/>
      <c r="BF123" s="119"/>
      <c r="BG123" s="119"/>
      <c r="BH123" s="119"/>
      <c r="BN123" s="69"/>
      <c r="BO123" s="863"/>
      <c r="BP123" s="79">
        <v>5</v>
      </c>
      <c r="BQ123" s="103" t="b">
        <f>IF(BU85=5,1)</f>
        <v>0</v>
      </c>
      <c r="BR123" s="105"/>
      <c r="BS123" s="106"/>
      <c r="BT123" s="106"/>
      <c r="BU123" s="106"/>
      <c r="BV123" s="106"/>
      <c r="BW123" s="106"/>
      <c r="BX123" s="105"/>
      <c r="BY123" s="107" t="b">
        <f>IF(BU85=5,9)</f>
        <v>0</v>
      </c>
      <c r="BZ123" s="60"/>
      <c r="CA123" s="60"/>
      <c r="CB123" s="60"/>
      <c r="CC123" s="60"/>
      <c r="CD123" s="60"/>
      <c r="CE123" s="60"/>
      <c r="CF123" s="60"/>
      <c r="CG123" s="60"/>
      <c r="CH123" s="141"/>
      <c r="CI123" s="60"/>
      <c r="CJ123" s="140"/>
      <c r="CK123" s="60"/>
      <c r="CL123" s="60"/>
      <c r="CM123" s="60"/>
      <c r="CN123" s="60"/>
      <c r="CO123" s="62"/>
      <c r="CP123" s="62"/>
      <c r="CQ123" s="62"/>
      <c r="CR123" s="62"/>
      <c r="CS123" s="62"/>
      <c r="CT123" s="62"/>
      <c r="CU123" s="62"/>
      <c r="CV123" s="62"/>
      <c r="CW123" s="62"/>
      <c r="CX123" s="62"/>
      <c r="CY123" s="62"/>
      <c r="CZ123" s="62"/>
      <c r="DA123" s="62"/>
      <c r="DB123" s="62"/>
      <c r="DC123" s="62"/>
      <c r="DD123" s="62"/>
    </row>
    <row r="124" spans="2:108" ht="127" hidden="1" thickBot="1" x14ac:dyDescent="0.25">
      <c r="E124" s="300"/>
      <c r="F124" s="300"/>
      <c r="G124" s="797"/>
      <c r="H124"/>
      <c r="I124" s="808" t="s">
        <v>192</v>
      </c>
      <c r="J124" s="808" t="s">
        <v>191</v>
      </c>
      <c r="K124" s="774" t="s">
        <v>193</v>
      </c>
      <c r="L124" s="775" t="s">
        <v>194</v>
      </c>
      <c r="M124" s="784" t="s">
        <v>198</v>
      </c>
      <c r="N124"/>
      <c r="O124" s="794"/>
      <c r="U124" s="97"/>
      <c r="AB124" s="97"/>
      <c r="AC124" s="97"/>
      <c r="AD124" s="97"/>
      <c r="AE124" s="97"/>
      <c r="BF124" s="119"/>
      <c r="BG124" s="119"/>
      <c r="BH124" s="119"/>
      <c r="BN124" s="69"/>
      <c r="BO124" s="863"/>
      <c r="BP124" s="79">
        <v>4</v>
      </c>
      <c r="BQ124" s="103" t="b">
        <f>IF(BT85=4,1)</f>
        <v>0</v>
      </c>
      <c r="BR124" s="106"/>
      <c r="BS124" s="106"/>
      <c r="BT124" s="106"/>
      <c r="BU124" s="106"/>
      <c r="BV124" s="106"/>
      <c r="BW124" s="107" t="b">
        <f>IF(BT85=4,7)</f>
        <v>0</v>
      </c>
      <c r="BX124" s="60"/>
      <c r="BY124" s="142"/>
      <c r="BZ124" s="142"/>
      <c r="CA124" s="60"/>
      <c r="CB124" s="142"/>
      <c r="CC124" s="60"/>
      <c r="CD124" s="60"/>
      <c r="CE124" s="60"/>
      <c r="CF124" s="60"/>
      <c r="CG124" s="60"/>
      <c r="CH124" s="141"/>
      <c r="CI124" s="60"/>
      <c r="CJ124" s="140"/>
      <c r="CK124" s="60"/>
      <c r="CL124" s="60"/>
      <c r="CM124" s="60"/>
      <c r="CN124" s="60"/>
      <c r="CO124" s="62"/>
      <c r="CP124" s="62"/>
      <c r="CQ124" s="62"/>
      <c r="CR124" s="62"/>
      <c r="CS124" s="62"/>
      <c r="CT124" s="62"/>
      <c r="CU124" s="62"/>
      <c r="CV124" s="62"/>
      <c r="CW124" s="62"/>
      <c r="CX124" s="62"/>
      <c r="CY124" s="62"/>
      <c r="CZ124" s="62"/>
      <c r="DA124" s="62"/>
      <c r="DB124" s="62"/>
      <c r="DC124" s="62"/>
      <c r="DD124" s="62"/>
    </row>
    <row r="125" spans="2:108" ht="64" hidden="1" thickBot="1" x14ac:dyDescent="0.25">
      <c r="E125" s="300"/>
      <c r="F125" s="300"/>
      <c r="G125" s="797"/>
      <c r="H125"/>
      <c r="I125" s="768" t="s">
        <v>185</v>
      </c>
      <c r="J125" s="773" t="s">
        <v>184</v>
      </c>
      <c r="K125" s="772" t="s">
        <v>112</v>
      </c>
      <c r="L125" s="776" t="s">
        <v>112</v>
      </c>
      <c r="M125" s="785" t="s">
        <v>112</v>
      </c>
      <c r="N125"/>
      <c r="O125" s="794"/>
      <c r="U125" s="97"/>
      <c r="AB125" s="97"/>
      <c r="AC125" s="97"/>
      <c r="AD125" s="97"/>
      <c r="AE125" s="97"/>
      <c r="BE125" s="119"/>
      <c r="BF125" s="119"/>
      <c r="BG125" s="119"/>
      <c r="BH125" s="119"/>
      <c r="BN125" s="69"/>
      <c r="BO125" s="863"/>
      <c r="BP125" s="79">
        <v>3</v>
      </c>
      <c r="BQ125" s="103" t="b">
        <f>IF(BS85=3,1)</f>
        <v>0</v>
      </c>
      <c r="BR125" s="106"/>
      <c r="BS125" s="106"/>
      <c r="BT125" s="106"/>
      <c r="BU125" s="107" t="b">
        <f>IF(BS85=3,5)</f>
        <v>0</v>
      </c>
      <c r="BV125" s="60"/>
      <c r="BW125" s="60"/>
      <c r="BX125" s="60"/>
      <c r="BY125" s="60"/>
      <c r="BZ125" s="60"/>
      <c r="CA125" s="60"/>
      <c r="CB125" s="60"/>
      <c r="CC125" s="60"/>
      <c r="CD125" s="60"/>
      <c r="CE125" s="60"/>
      <c r="CF125" s="60"/>
      <c r="CG125" s="60"/>
      <c r="CH125" s="141"/>
      <c r="CI125" s="60"/>
      <c r="CJ125" s="140"/>
      <c r="CK125" s="60"/>
      <c r="CL125" s="60"/>
      <c r="CM125" s="60"/>
      <c r="CN125" s="60"/>
      <c r="CO125" s="62"/>
      <c r="CP125" s="62"/>
      <c r="CQ125" s="62"/>
      <c r="CR125" s="62"/>
      <c r="CS125" s="62"/>
      <c r="CT125" s="62"/>
      <c r="CU125" s="62"/>
      <c r="CV125" s="62"/>
      <c r="CW125" s="62"/>
      <c r="CX125" s="62"/>
      <c r="CY125" s="62"/>
      <c r="CZ125" s="62"/>
      <c r="DA125" s="62"/>
      <c r="DB125" s="62"/>
      <c r="DC125" s="62"/>
      <c r="DD125" s="62"/>
    </row>
    <row r="126" spans="2:108" ht="97" hidden="1" thickBot="1" x14ac:dyDescent="0.3">
      <c r="E126" s="300"/>
      <c r="F126" s="300"/>
      <c r="G126" s="797"/>
      <c r="H126" s="840" t="s">
        <v>205</v>
      </c>
      <c r="I126" s="828">
        <f>+MIN(K31:L32)</f>
        <v>42.441841617752267</v>
      </c>
      <c r="J126" s="828">
        <f>+MIN(J37:K38)</f>
        <v>65.681444991789817</v>
      </c>
      <c r="K126" s="829">
        <f>+MIN(J43:L44)</f>
        <v>65.681444991789817</v>
      </c>
      <c r="L126" s="830">
        <f>+MIN(J49:L50)</f>
        <v>28.419856006062901</v>
      </c>
      <c r="M126" s="831">
        <f>+MIN(J55:L56)</f>
        <v>65.681444991789817</v>
      </c>
      <c r="N126"/>
      <c r="O126" s="794"/>
      <c r="U126" s="97"/>
      <c r="AB126" s="97"/>
      <c r="AC126" s="97"/>
      <c r="AD126" s="97"/>
      <c r="AE126" s="97"/>
      <c r="BE126" s="119"/>
      <c r="BF126" s="119"/>
      <c r="BG126" s="119"/>
      <c r="BH126" s="119"/>
      <c r="BN126" s="69"/>
      <c r="BO126" s="863"/>
      <c r="BP126" s="79">
        <v>2</v>
      </c>
      <c r="BQ126" s="143" t="b">
        <f>IF(BR85=2,1)</f>
        <v>0</v>
      </c>
      <c r="BR126" s="144"/>
      <c r="BS126" s="145" t="b">
        <f>IF(BR85=2,3)</f>
        <v>0</v>
      </c>
      <c r="BT126" s="60"/>
      <c r="BU126" s="60"/>
      <c r="BV126" s="60"/>
      <c r="BW126" s="60"/>
      <c r="BX126" s="60"/>
      <c r="BY126" s="60"/>
      <c r="BZ126" s="60"/>
      <c r="CA126" s="60"/>
      <c r="CB126" s="60"/>
      <c r="CC126" s="60"/>
      <c r="CD126" s="60"/>
      <c r="CE126" s="60"/>
      <c r="CF126" s="60"/>
      <c r="CG126" s="60"/>
      <c r="CH126" s="141"/>
      <c r="CI126" s="60"/>
      <c r="CJ126" s="140"/>
      <c r="CK126" s="60"/>
      <c r="CL126" s="60"/>
      <c r="CM126" s="60"/>
      <c r="CN126" s="60"/>
      <c r="CO126" s="62"/>
      <c r="CP126" s="62"/>
      <c r="CQ126" s="62"/>
      <c r="CR126" s="62"/>
      <c r="CS126" s="62"/>
      <c r="CT126" s="62"/>
      <c r="CU126" s="62"/>
      <c r="CV126" s="62"/>
      <c r="CW126" s="62"/>
      <c r="CX126" s="62"/>
      <c r="CY126" s="62"/>
      <c r="CZ126" s="62"/>
      <c r="DA126" s="62"/>
      <c r="DB126" s="62"/>
      <c r="DC126" s="62"/>
      <c r="DD126" s="62"/>
    </row>
    <row r="127" spans="2:108" ht="21" hidden="1" thickBot="1" x14ac:dyDescent="0.25">
      <c r="E127" s="300"/>
      <c r="F127" s="300"/>
      <c r="G127" s="810"/>
      <c r="H127" s="114"/>
      <c r="I127" s="114"/>
      <c r="J127" s="114"/>
      <c r="K127" s="114"/>
      <c r="L127" s="114"/>
      <c r="M127" s="114"/>
      <c r="N127" s="114"/>
      <c r="O127" s="811"/>
      <c r="U127" s="97"/>
      <c r="AB127" s="97"/>
      <c r="AC127" s="97"/>
      <c r="AD127" s="97"/>
      <c r="AE127" s="97"/>
      <c r="BE127" s="119"/>
      <c r="BF127" s="119"/>
      <c r="BG127" s="119"/>
      <c r="BH127" s="119"/>
      <c r="BN127" s="69"/>
      <c r="BO127" s="863"/>
      <c r="BP127" s="146"/>
      <c r="BQ127" s="147">
        <f>SUM(BQ92:BQ126)</f>
        <v>0</v>
      </c>
      <c r="BR127" s="147">
        <f t="shared" ref="BR127:DA127" si="3">SUM(BR92:BR126)</f>
        <v>0</v>
      </c>
      <c r="BS127" s="147">
        <f t="shared" si="3"/>
        <v>0</v>
      </c>
      <c r="BT127" s="147">
        <f t="shared" si="3"/>
        <v>0</v>
      </c>
      <c r="BU127" s="147">
        <f t="shared" si="3"/>
        <v>0</v>
      </c>
      <c r="BV127" s="147">
        <f t="shared" si="3"/>
        <v>0</v>
      </c>
      <c r="BW127" s="147">
        <f t="shared" si="3"/>
        <v>0</v>
      </c>
      <c r="BX127" s="147">
        <f t="shared" si="3"/>
        <v>8</v>
      </c>
      <c r="BY127" s="147">
        <f t="shared" si="3"/>
        <v>0</v>
      </c>
      <c r="BZ127" s="147">
        <f t="shared" si="3"/>
        <v>0</v>
      </c>
      <c r="CA127" s="147">
        <f t="shared" si="3"/>
        <v>0</v>
      </c>
      <c r="CB127" s="147">
        <f t="shared" si="3"/>
        <v>0</v>
      </c>
      <c r="CC127" s="147">
        <f t="shared" si="3"/>
        <v>0</v>
      </c>
      <c r="CD127" s="147">
        <f t="shared" si="3"/>
        <v>0</v>
      </c>
      <c r="CE127" s="147">
        <f t="shared" si="3"/>
        <v>0</v>
      </c>
      <c r="CF127" s="147">
        <f t="shared" si="3"/>
        <v>0</v>
      </c>
      <c r="CG127" s="148">
        <f t="shared" si="3"/>
        <v>0</v>
      </c>
      <c r="CH127" s="149"/>
      <c r="CI127" s="150"/>
      <c r="CJ127" s="151"/>
      <c r="CK127" s="152">
        <f t="shared" si="3"/>
        <v>0</v>
      </c>
      <c r="CL127" s="147">
        <f t="shared" si="3"/>
        <v>0</v>
      </c>
      <c r="CM127" s="147">
        <f t="shared" si="3"/>
        <v>0</v>
      </c>
      <c r="CN127" s="147">
        <f t="shared" si="3"/>
        <v>0</v>
      </c>
      <c r="CO127" s="147">
        <f t="shared" si="3"/>
        <v>0</v>
      </c>
      <c r="CP127" s="147">
        <f t="shared" si="3"/>
        <v>26</v>
      </c>
      <c r="CQ127" s="147">
        <f t="shared" si="3"/>
        <v>0</v>
      </c>
      <c r="CR127" s="147">
        <f t="shared" si="3"/>
        <v>0</v>
      </c>
      <c r="CS127" s="147">
        <f t="shared" si="3"/>
        <v>0</v>
      </c>
      <c r="CT127" s="147">
        <f t="shared" si="3"/>
        <v>0</v>
      </c>
      <c r="CU127" s="147">
        <f t="shared" si="3"/>
        <v>0</v>
      </c>
      <c r="CV127" s="147">
        <f t="shared" si="3"/>
        <v>0</v>
      </c>
      <c r="CW127" s="147">
        <f t="shared" si="3"/>
        <v>0</v>
      </c>
      <c r="CX127" s="147">
        <f t="shared" si="3"/>
        <v>0</v>
      </c>
      <c r="CY127" s="147">
        <f t="shared" si="3"/>
        <v>0</v>
      </c>
      <c r="CZ127" s="147">
        <f t="shared" si="3"/>
        <v>0</v>
      </c>
      <c r="DA127" s="147">
        <f t="shared" si="3"/>
        <v>0</v>
      </c>
      <c r="DB127" s="62"/>
      <c r="DC127" s="62"/>
      <c r="DD127" s="62"/>
    </row>
    <row r="128" spans="2:108" ht="49.5" hidden="1" customHeight="1" thickBot="1" x14ac:dyDescent="0.25">
      <c r="E128" s="300"/>
      <c r="F128" s="300"/>
      <c r="G128" s="797"/>
      <c r="H128" s="184"/>
      <c r="I128" s="184"/>
      <c r="J128" s="184"/>
      <c r="K128" s="184"/>
      <c r="L128" s="184"/>
      <c r="M128" s="184"/>
      <c r="N128" s="184"/>
      <c r="O128" s="812"/>
      <c r="U128" s="97"/>
      <c r="AB128" s="97"/>
      <c r="AC128" s="97"/>
      <c r="AD128" s="97"/>
      <c r="AE128" s="97"/>
      <c r="BE128" s="119"/>
      <c r="BF128" s="119"/>
      <c r="BG128" s="119"/>
      <c r="BH128" s="119"/>
      <c r="BN128" s="69"/>
      <c r="BO128" s="863"/>
      <c r="BP128" s="146"/>
      <c r="BQ128" s="153"/>
      <c r="BR128" s="153"/>
      <c r="BS128" s="153"/>
      <c r="BT128" s="153"/>
      <c r="BU128" s="153"/>
      <c r="BV128" s="153"/>
      <c r="BW128" s="153"/>
      <c r="BX128" s="153"/>
      <c r="BY128" s="153"/>
      <c r="BZ128" s="153"/>
      <c r="CA128" s="153"/>
      <c r="CB128" s="153"/>
      <c r="CC128" s="153"/>
      <c r="CD128" s="153"/>
      <c r="CE128" s="153"/>
      <c r="CF128" s="153"/>
      <c r="CG128" s="153"/>
      <c r="CH128" s="153"/>
      <c r="CI128" s="153"/>
      <c r="CJ128" s="153"/>
      <c r="CK128" s="154"/>
      <c r="CL128" s="153"/>
      <c r="CM128" s="153"/>
      <c r="CN128" s="153"/>
      <c r="CO128" s="153"/>
      <c r="CP128" s="153"/>
      <c r="CQ128" s="153"/>
      <c r="CR128" s="153"/>
      <c r="CS128" s="153"/>
      <c r="CT128" s="153"/>
      <c r="CU128" s="153"/>
      <c r="CV128" s="153"/>
      <c r="CW128" s="153"/>
      <c r="CX128" s="153"/>
      <c r="CY128" s="153"/>
      <c r="CZ128" s="153"/>
      <c r="DA128" s="153"/>
      <c r="DB128" s="62"/>
      <c r="DC128" s="62"/>
      <c r="DD128" s="62"/>
    </row>
    <row r="129" spans="2:110" ht="49.5" customHeight="1" thickBot="1" x14ac:dyDescent="0.3">
      <c r="B129" s="311"/>
      <c r="D129" s="312" t="str">
        <f>IF(BL138&gt;0," ","change the angle of frame or of cabinets")</f>
        <v xml:space="preserve"> </v>
      </c>
      <c r="E129" s="300"/>
      <c r="F129" s="300"/>
      <c r="G129" s="797"/>
      <c r="H129"/>
      <c r="I129"/>
      <c r="J129"/>
      <c r="K129"/>
      <c r="L129"/>
      <c r="M129"/>
      <c r="N129"/>
      <c r="O129" s="794"/>
      <c r="U129" s="97"/>
      <c r="AB129" s="97"/>
      <c r="AC129" s="97"/>
      <c r="AD129" s="97"/>
      <c r="AE129" s="97"/>
      <c r="AL129" s="676" t="s">
        <v>128</v>
      </c>
      <c r="AM129" s="677"/>
      <c r="AN129" s="677"/>
      <c r="AO129" s="677"/>
      <c r="AP129" s="678" t="s">
        <v>132</v>
      </c>
      <c r="BE129" s="119"/>
      <c r="BF129" s="119"/>
      <c r="BG129" s="119"/>
      <c r="BH129" s="119"/>
      <c r="BN129" s="69"/>
      <c r="BO129" s="866" t="s">
        <v>112</v>
      </c>
      <c r="BP129" s="155" t="s">
        <v>109</v>
      </c>
      <c r="BQ129" s="593" t="str">
        <f>IF(BQ127=1,17,"")</f>
        <v/>
      </c>
      <c r="BR129" s="594" t="str">
        <f>IF(BR127=2,16,"")</f>
        <v/>
      </c>
      <c r="BS129" s="594" t="str">
        <f>IF(BS127=3,15,"")</f>
        <v/>
      </c>
      <c r="BT129" s="594" t="str">
        <f>IF(BT127=4,14,"")</f>
        <v/>
      </c>
      <c r="BU129" s="594" t="str">
        <f>IF(BU127=5,13,"")</f>
        <v/>
      </c>
      <c r="BV129" s="594" t="str">
        <f>IF(BV127=6,12,"")</f>
        <v/>
      </c>
      <c r="BW129" s="594" t="str">
        <f>IF(BW127=7,11,"")</f>
        <v/>
      </c>
      <c r="BX129" s="594">
        <f>IF(BX127=8,10,"")</f>
        <v>10</v>
      </c>
      <c r="BY129" s="594" t="str">
        <f>IF(BY127=9,9,"")</f>
        <v/>
      </c>
      <c r="BZ129" s="594" t="str">
        <f>IF(BZ127=10,8,"")</f>
        <v/>
      </c>
      <c r="CA129" s="594" t="str">
        <f>IF(CA127=11,7,"")</f>
        <v/>
      </c>
      <c r="CB129" s="595" t="str">
        <f>IF(CB127=12,"6  ADS ","")</f>
        <v/>
      </c>
      <c r="CC129" s="594" t="str">
        <f>IF(CC127=13,5,"")</f>
        <v/>
      </c>
      <c r="CD129" s="594" t="str">
        <f>IF(CD127=14,4,"")</f>
        <v/>
      </c>
      <c r="CE129" s="594" t="str">
        <f>IF(CE127=15,3,"")</f>
        <v/>
      </c>
      <c r="CF129" s="594" t="str">
        <f>IF(CF127=16,2,"")</f>
        <v/>
      </c>
      <c r="CG129" s="594" t="str">
        <f>IF(CG127=17,1,"")</f>
        <v/>
      </c>
      <c r="CH129" s="156"/>
      <c r="CI129" s="157"/>
      <c r="CJ129" s="158"/>
      <c r="CK129" s="596" t="str">
        <f>IF(CK127=21,1,"")</f>
        <v/>
      </c>
      <c r="CL129" s="596" t="str">
        <f>IF(CL127=22,2,"")</f>
        <v/>
      </c>
      <c r="CM129" s="596" t="str">
        <f>IF(CM127=23,3,"")</f>
        <v/>
      </c>
      <c r="CN129" s="596" t="str">
        <f>IF(CN127=24,4,"")</f>
        <v/>
      </c>
      <c r="CO129" s="596" t="str">
        <f>IF(CO127=25,5,"")</f>
        <v/>
      </c>
      <c r="CP129" s="597" t="str">
        <f>IF(CP127=26,"6  ADS ","")</f>
        <v xml:space="preserve">6  ADS </v>
      </c>
      <c r="CQ129" s="596" t="str">
        <f>IF(CQ127=27,7,"")</f>
        <v/>
      </c>
      <c r="CR129" s="596" t="str">
        <f>IF(CR127=28,8,"")</f>
        <v/>
      </c>
      <c r="CS129" s="596" t="str">
        <f>IF(CS127=29,9,"")</f>
        <v/>
      </c>
      <c r="CT129" s="596" t="str">
        <f>IF(CT127=30,10,"")</f>
        <v/>
      </c>
      <c r="CU129" s="596" t="str">
        <f>IF(CU127=31,11,"")</f>
        <v/>
      </c>
      <c r="CV129" s="596" t="str">
        <f>IF(CV127=32,12,"")</f>
        <v/>
      </c>
      <c r="CW129" s="596" t="str">
        <f>IF(CW127=33,13,"")</f>
        <v/>
      </c>
      <c r="CX129" s="596" t="str">
        <f>IF(CX127=34,14,"")</f>
        <v/>
      </c>
      <c r="CY129" s="596" t="str">
        <f>IF(CY127=35,15,"")</f>
        <v/>
      </c>
      <c r="CZ129" s="596" t="str">
        <f>IF(CZ127=36,16,"")</f>
        <v/>
      </c>
      <c r="DA129" s="598" t="str">
        <f>IF(DA127=37,17,"")</f>
        <v/>
      </c>
      <c r="DB129" s="281"/>
      <c r="DC129" s="62"/>
      <c r="DD129" s="62"/>
    </row>
    <row r="130" spans="2:110" ht="49.5" customHeight="1" thickBot="1" x14ac:dyDescent="0.3">
      <c r="B130" s="1113" t="s">
        <v>105</v>
      </c>
      <c r="D130" s="312" t="str">
        <f>IF(DD139&lt;0," ","change the angle of frame or of cabinets")</f>
        <v xml:space="preserve"> </v>
      </c>
      <c r="E130" s="300"/>
      <c r="F130" s="300"/>
      <c r="G130" s="797"/>
      <c r="H130"/>
      <c r="I130" s="843" t="s">
        <v>208</v>
      </c>
      <c r="J130" s="843" t="s">
        <v>207</v>
      </c>
      <c r="K130"/>
      <c r="L130"/>
      <c r="M130"/>
      <c r="N130"/>
      <c r="O130" s="794"/>
      <c r="U130" s="97"/>
      <c r="AB130" s="97"/>
      <c r="AC130" s="97"/>
      <c r="AD130" s="97"/>
      <c r="AE130" s="97"/>
      <c r="AL130" s="679" t="s">
        <v>129</v>
      </c>
      <c r="AM130" s="676" t="s">
        <v>130</v>
      </c>
      <c r="AN130" s="676" t="s">
        <v>131</v>
      </c>
      <c r="AO130" s="680" t="s">
        <v>135</v>
      </c>
      <c r="AP130" s="681" t="s">
        <v>133</v>
      </c>
      <c r="BE130" s="119"/>
      <c r="BF130" s="119"/>
      <c r="BG130" s="119"/>
      <c r="BH130" s="119"/>
      <c r="BL130" s="767">
        <v>6</v>
      </c>
      <c r="BM130" s="1055" t="b">
        <f>AND(BO130&gt;=10,$BA$139&gt;=10,$BB$139&gt;=10,$BA$178&gt;=10,$BB$178&gt;=10,$BA$202&gt;=10,$BB$202&gt;=10)</f>
        <v>1</v>
      </c>
      <c r="BN130" s="67" t="str">
        <f>IF(BM130=TRUE,"O K","OVERLOAD")</f>
        <v>O K</v>
      </c>
      <c r="BO130" s="781">
        <f>SUM(I132:M132)</f>
        <v>65.681444991789817</v>
      </c>
      <c r="BP130" s="631" t="s">
        <v>139</v>
      </c>
      <c r="BQ130" s="632">
        <v>-10</v>
      </c>
      <c r="BR130" s="632">
        <v>-9</v>
      </c>
      <c r="BS130" s="632">
        <v>-8</v>
      </c>
      <c r="BT130" s="632">
        <v>-7</v>
      </c>
      <c r="BU130" s="632">
        <v>-6</v>
      </c>
      <c r="BV130" s="632">
        <v>-5</v>
      </c>
      <c r="BW130" s="632">
        <v>-4</v>
      </c>
      <c r="BX130" s="632">
        <v>-3</v>
      </c>
      <c r="BY130" s="632">
        <v>-2</v>
      </c>
      <c r="BZ130" s="632">
        <v>-1</v>
      </c>
      <c r="CA130" s="632">
        <v>0</v>
      </c>
      <c r="CB130" s="632">
        <v>1</v>
      </c>
      <c r="CC130" s="632">
        <v>2</v>
      </c>
      <c r="CD130" s="632">
        <v>3</v>
      </c>
      <c r="CE130" s="632">
        <v>4</v>
      </c>
      <c r="CF130" s="632">
        <v>5</v>
      </c>
      <c r="CG130" s="632">
        <v>6</v>
      </c>
      <c r="CH130" s="632">
        <v>7</v>
      </c>
      <c r="CI130" s="632">
        <v>8</v>
      </c>
      <c r="CJ130" s="632">
        <v>9</v>
      </c>
      <c r="CK130" s="632">
        <v>10</v>
      </c>
      <c r="CL130" s="632">
        <v>11</v>
      </c>
      <c r="CM130" s="632">
        <v>12</v>
      </c>
      <c r="CN130" s="632">
        <v>13</v>
      </c>
      <c r="CO130" s="632">
        <v>14</v>
      </c>
      <c r="CP130" s="632">
        <v>15</v>
      </c>
      <c r="CQ130" s="632">
        <v>16</v>
      </c>
      <c r="CR130" s="632">
        <v>17</v>
      </c>
      <c r="CS130" s="632">
        <v>18</v>
      </c>
      <c r="CT130" s="632">
        <v>19</v>
      </c>
      <c r="CU130" s="632">
        <v>20</v>
      </c>
      <c r="CV130" s="632">
        <v>21</v>
      </c>
      <c r="CW130" s="632">
        <v>22</v>
      </c>
      <c r="CX130" s="632">
        <v>23</v>
      </c>
      <c r="CY130" s="632">
        <v>24</v>
      </c>
      <c r="CZ130" s="632">
        <v>25</v>
      </c>
      <c r="DA130" s="634">
        <v>26</v>
      </c>
      <c r="DB130" s="62"/>
      <c r="DC130" s="62"/>
      <c r="DD130" s="62"/>
    </row>
    <row r="131" spans="2:110" ht="49.5" customHeight="1" thickBot="1" x14ac:dyDescent="0.3">
      <c r="B131" s="1114"/>
      <c r="C131" s="196"/>
      <c r="D131" s="312" t="str">
        <f>IF(BL138&gt;(+COS(($B$132*-1)*3.14159265358979/180)*451.5)," ","USE EXBAR AR AT THE FRONT")</f>
        <v xml:space="preserve"> </v>
      </c>
      <c r="E131" s="300"/>
      <c r="F131" s="300"/>
      <c r="G131" s="813"/>
      <c r="H131" s="192"/>
      <c r="I131" s="838">
        <f>COUNTIF(CK127:DA127,"&gt;0")</f>
        <v>1</v>
      </c>
      <c r="J131" s="838">
        <f>COUNTIF(BQ127:CG127,"&gt;0")</f>
        <v>1</v>
      </c>
      <c r="K131" s="838" t="b">
        <f>AND(IF(SUM(BQ129:CA129)&gt;0,1,0),IF(CP129="6  ADS ",1,0))</f>
        <v>1</v>
      </c>
      <c r="L131" s="838" t="b">
        <f>AND(IF(SUM(CQ129:DA129)&gt;0,1,0),IF(CB129="6  ADS ",1,0))</f>
        <v>0</v>
      </c>
      <c r="M131" s="838" t="b">
        <f>AND(IF(CP129="6  ADS ",1,0),IF(CB129="6  ADS ",1,0))</f>
        <v>0</v>
      </c>
      <c r="N131" s="192"/>
      <c r="O131" s="814"/>
      <c r="U131" s="97"/>
      <c r="AB131" s="97"/>
      <c r="AC131" s="97"/>
      <c r="AD131" s="97"/>
      <c r="AE131" s="97"/>
      <c r="AL131" s="679"/>
      <c r="AM131" s="676"/>
      <c r="AN131" s="676"/>
      <c r="AO131" s="680"/>
      <c r="AP131" s="660"/>
      <c r="BE131" s="119"/>
      <c r="BF131" s="119"/>
      <c r="BG131" s="119"/>
      <c r="BH131" s="119"/>
      <c r="BN131" s="119"/>
      <c r="BO131" s="863"/>
      <c r="BP131" s="59"/>
      <c r="BQ131" s="750"/>
      <c r="BR131" s="750"/>
      <c r="BS131" s="750"/>
      <c r="BT131" s="750"/>
      <c r="BU131" s="750"/>
      <c r="BV131" s="750"/>
      <c r="BW131" s="750"/>
      <c r="BX131" s="750"/>
      <c r="BY131" s="750"/>
      <c r="BZ131" s="750"/>
      <c r="CA131" s="750"/>
      <c r="CB131" s="750"/>
      <c r="CC131" s="750"/>
      <c r="CD131" s="750"/>
      <c r="CE131" s="750"/>
      <c r="CF131" s="750"/>
      <c r="CG131" s="750"/>
      <c r="CH131" s="750"/>
      <c r="CI131" s="750"/>
      <c r="CJ131" s="750"/>
      <c r="CK131" s="750"/>
      <c r="CL131" s="750"/>
      <c r="CM131" s="750"/>
      <c r="CN131" s="750"/>
      <c r="CO131" s="750"/>
      <c r="CP131" s="750"/>
      <c r="CQ131" s="750"/>
      <c r="CR131" s="750"/>
      <c r="CS131" s="750"/>
      <c r="CT131" s="750"/>
      <c r="CU131" s="750"/>
      <c r="CV131" s="750"/>
      <c r="CW131" s="750"/>
      <c r="CX131" s="750"/>
      <c r="CY131" s="750"/>
      <c r="CZ131" s="750"/>
      <c r="DA131" s="750"/>
      <c r="DB131" s="62"/>
      <c r="DC131" s="62"/>
      <c r="DD131" s="62"/>
    </row>
    <row r="132" spans="2:110" ht="45" customHeight="1" thickBot="1" x14ac:dyDescent="0.3">
      <c r="B132" s="2">
        <v>0</v>
      </c>
      <c r="C132" s="196"/>
      <c r="D132" s="282" t="str">
        <f>IF(DD139&lt;-(+COS(($B$132*-1)*3.14159265358979/180)*365.5)," ","USE EXBAR AR AT THE BACK")</f>
        <v xml:space="preserve"> </v>
      </c>
      <c r="E132" s="300"/>
      <c r="F132" s="300"/>
      <c r="G132" s="815"/>
      <c r="H132" s="816"/>
      <c r="I132" s="839">
        <f>IF(I131=2,I126,0)</f>
        <v>0</v>
      </c>
      <c r="J132" s="839">
        <f>IF(J131=2,J126,0)</f>
        <v>0</v>
      </c>
      <c r="K132" s="839">
        <f t="shared" ref="K132:M132" si="4">IF(K131=TRUE,K126,0)</f>
        <v>65.681444991789817</v>
      </c>
      <c r="L132" s="839">
        <f t="shared" si="4"/>
        <v>0</v>
      </c>
      <c r="M132" s="839">
        <f t="shared" si="4"/>
        <v>0</v>
      </c>
      <c r="N132" s="816"/>
      <c r="O132" s="817"/>
      <c r="U132" s="97"/>
      <c r="AB132" s="97"/>
      <c r="AC132" s="97"/>
      <c r="AD132" s="97"/>
      <c r="AE132" s="97"/>
      <c r="AL132" s="679"/>
      <c r="AM132" s="676"/>
      <c r="AN132" s="676"/>
      <c r="AO132" s="680"/>
      <c r="AP132" s="660"/>
      <c r="BE132" s="119"/>
      <c r="BF132" s="119"/>
      <c r="BG132" s="119"/>
      <c r="BH132" s="119"/>
      <c r="BN132" s="119"/>
      <c r="BO132" s="863"/>
      <c r="BP132" s="59"/>
      <c r="BQ132" s="750"/>
      <c r="BR132" s="750"/>
      <c r="BS132" s="750"/>
      <c r="BT132" s="750"/>
      <c r="BU132" s="750"/>
      <c r="BV132" s="750"/>
      <c r="BW132" s="750"/>
      <c r="BX132" s="750"/>
      <c r="BY132" s="750"/>
      <c r="BZ132" s="750"/>
      <c r="CA132" s="750"/>
      <c r="CB132" s="750"/>
      <c r="CC132" s="750"/>
      <c r="CD132" s="750"/>
      <c r="CE132" s="750"/>
      <c r="CF132" s="750"/>
      <c r="CG132" s="750"/>
      <c r="CH132" s="750"/>
      <c r="CI132" s="750"/>
      <c r="CJ132" s="750"/>
      <c r="CK132" s="750"/>
      <c r="CL132" s="750"/>
      <c r="CM132" s="750"/>
      <c r="CN132" s="750"/>
      <c r="CO132" s="750"/>
      <c r="CP132" s="750"/>
      <c r="CQ132" s="750"/>
      <c r="CR132" s="750"/>
      <c r="CS132" s="750"/>
      <c r="CT132" s="750"/>
      <c r="CU132" s="750"/>
      <c r="CV132" s="750"/>
      <c r="CW132" s="750"/>
      <c r="CX132" s="750"/>
      <c r="CY132" s="750"/>
      <c r="CZ132" s="750"/>
      <c r="DA132" s="750"/>
      <c r="DB132" s="62"/>
      <c r="DC132" s="62"/>
      <c r="DD132" s="62"/>
    </row>
    <row r="133" spans="2:110" ht="13.5" hidden="1" customHeight="1" x14ac:dyDescent="0.25">
      <c r="B133" s="300"/>
      <c r="C133" s="300"/>
      <c r="D133" s="300"/>
      <c r="E133" s="300"/>
      <c r="F133" s="300"/>
      <c r="G133" s="300"/>
      <c r="U133" s="97"/>
      <c r="AB133" s="97"/>
      <c r="AC133" s="97"/>
      <c r="AD133" s="97"/>
      <c r="AE133" s="97"/>
      <c r="AL133" s="679"/>
      <c r="AM133" s="676"/>
      <c r="AN133" s="676"/>
      <c r="AO133" s="680"/>
      <c r="AP133" s="660"/>
      <c r="BE133" s="119"/>
      <c r="BF133" s="119"/>
      <c r="BG133" s="119"/>
      <c r="BH133" s="119"/>
      <c r="BN133" s="119"/>
      <c r="BO133" s="863"/>
      <c r="BP133" s="59"/>
      <c r="BQ133" s="750"/>
      <c r="BR133" s="750"/>
      <c r="BS133" s="750"/>
      <c r="BT133" s="750"/>
      <c r="BU133" s="750"/>
      <c r="BV133" s="750"/>
      <c r="BW133" s="750"/>
      <c r="BX133" s="750"/>
      <c r="BY133" s="750"/>
      <c r="BZ133" s="750"/>
      <c r="CA133" s="750"/>
      <c r="CB133" s="750"/>
      <c r="CC133" s="750"/>
      <c r="CD133" s="750"/>
      <c r="CE133" s="750"/>
      <c r="CF133" s="750"/>
      <c r="CG133" s="750"/>
      <c r="CH133" s="750"/>
      <c r="CI133" s="750"/>
      <c r="CJ133" s="750"/>
      <c r="CK133" s="750"/>
      <c r="CL133" s="750"/>
      <c r="CM133" s="750"/>
      <c r="CN133" s="750"/>
      <c r="CO133" s="750"/>
      <c r="CP133" s="750"/>
      <c r="CQ133" s="750"/>
      <c r="CR133" s="750"/>
      <c r="CS133" s="750"/>
      <c r="CT133" s="750"/>
      <c r="CU133" s="750"/>
      <c r="CV133" s="750"/>
      <c r="CW133" s="750"/>
      <c r="CX133" s="750"/>
      <c r="CY133" s="750"/>
      <c r="CZ133" s="750"/>
      <c r="DA133" s="750"/>
      <c r="DB133" s="62"/>
      <c r="DC133" s="62"/>
      <c r="DD133" s="62"/>
    </row>
    <row r="134" spans="2:110" ht="13.5" customHeight="1" thickBot="1" x14ac:dyDescent="0.3">
      <c r="B134" s="300"/>
      <c r="C134" s="300"/>
      <c r="D134" s="300"/>
      <c r="E134" s="300"/>
      <c r="F134" s="300"/>
      <c r="G134" s="300"/>
      <c r="U134" s="97"/>
      <c r="AB134" s="97"/>
      <c r="AC134" s="97"/>
      <c r="AD134" s="97"/>
      <c r="AE134" s="97"/>
      <c r="AL134" s="679"/>
      <c r="AM134" s="676"/>
      <c r="AN134" s="676"/>
      <c r="AO134" s="680"/>
      <c r="AP134" s="660"/>
      <c r="BE134" s="119"/>
      <c r="BF134" s="119"/>
      <c r="BG134" s="119"/>
      <c r="BH134" s="119"/>
      <c r="BN134" s="119"/>
      <c r="BO134" s="863"/>
      <c r="BP134" s="59"/>
      <c r="BQ134" s="750"/>
      <c r="BR134" s="750"/>
      <c r="BS134" s="750"/>
      <c r="BT134" s="750"/>
      <c r="BU134" s="750"/>
      <c r="BV134" s="750"/>
      <c r="BW134" s="750"/>
      <c r="BX134" s="750"/>
      <c r="BY134" s="750"/>
      <c r="BZ134" s="750"/>
      <c r="CA134" s="750"/>
      <c r="CB134" s="750"/>
      <c r="CC134" s="750"/>
      <c r="CD134" s="750"/>
      <c r="CE134" s="750"/>
      <c r="CF134" s="750"/>
      <c r="CG134" s="750"/>
      <c r="CH134" s="750"/>
      <c r="CI134" s="750"/>
      <c r="CJ134" s="750"/>
      <c r="CK134" s="750"/>
      <c r="CL134" s="750"/>
      <c r="CM134" s="750"/>
      <c r="CN134" s="750"/>
      <c r="CO134" s="750"/>
      <c r="CP134" s="750"/>
      <c r="CQ134" s="750"/>
      <c r="CR134" s="750"/>
      <c r="CS134" s="750"/>
      <c r="CT134" s="750"/>
      <c r="CU134" s="750"/>
      <c r="CV134" s="750"/>
      <c r="CW134" s="750"/>
      <c r="CX134" s="750"/>
      <c r="CY134" s="750"/>
      <c r="CZ134" s="750"/>
      <c r="DA134" s="750"/>
      <c r="DB134" s="62"/>
      <c r="DC134" s="62"/>
      <c r="DD134" s="62"/>
    </row>
    <row r="135" spans="2:110" ht="66.75" customHeight="1" thickBot="1" x14ac:dyDescent="0.3">
      <c r="B135" s="284" t="s">
        <v>228</v>
      </c>
      <c r="C135" s="357"/>
      <c r="D135" s="358"/>
      <c r="E135" s="26"/>
      <c r="F135" s="26"/>
      <c r="G135" s="26"/>
      <c r="H135" s="359"/>
      <c r="I135" s="359"/>
      <c r="J135" s="359"/>
      <c r="K135" s="359"/>
      <c r="L135" s="359"/>
      <c r="M135" s="359"/>
      <c r="N135" s="359"/>
      <c r="O135" s="359"/>
      <c r="P135" s="359"/>
      <c r="Q135" s="359"/>
      <c r="R135" s="359"/>
      <c r="S135" s="360" t="s">
        <v>239</v>
      </c>
      <c r="T135" s="360">
        <f>SUM(V139:V164)/B136</f>
        <v>213.34350003963542</v>
      </c>
      <c r="U135" s="195"/>
      <c r="V135" s="170"/>
      <c r="AB135" s="170"/>
      <c r="AC135" s="170"/>
      <c r="AD135" s="170"/>
      <c r="AE135" s="170"/>
      <c r="AF135" s="170"/>
      <c r="AG135" s="170"/>
      <c r="AH135" s="170"/>
      <c r="AI135" s="170"/>
      <c r="AJ135" s="170"/>
      <c r="AK135" s="170"/>
      <c r="AL135" s="679">
        <v>6.8623010000000004</v>
      </c>
      <c r="AM135" s="676">
        <f>+$B$132-AL135</f>
        <v>-6.8623010000000004</v>
      </c>
      <c r="AN135" s="682">
        <f>COS(AM135*3.14159265358979/180)</f>
        <v>0.99283617366519983</v>
      </c>
      <c r="AO135" s="683">
        <f>+AN135*378.71303</f>
        <v>375.99999562235405</v>
      </c>
      <c r="AP135" s="656">
        <f>+((AP139*(AR139-31-31))+(AO135*31)+(AP171*31)+(AP196*31))/(AR139+31)</f>
        <v>275.18309196129502</v>
      </c>
      <c r="AQ135" s="1033" t="s">
        <v>298</v>
      </c>
      <c r="AR135" s="170"/>
      <c r="AS135" s="170"/>
      <c r="AT135" s="170"/>
      <c r="AU135" s="170"/>
      <c r="AV135" s="170"/>
      <c r="AW135" s="170"/>
      <c r="AX135" s="170"/>
      <c r="AY135" s="170"/>
      <c r="AZ135" s="170"/>
      <c r="BA135" s="170"/>
      <c r="BB135" s="170"/>
      <c r="BC135" s="109"/>
      <c r="BE135" s="119"/>
      <c r="BF135" s="119"/>
      <c r="BG135" s="119"/>
      <c r="BH135" s="119"/>
      <c r="BI135" s="119"/>
      <c r="BJ135" s="119"/>
      <c r="BK135" s="119"/>
      <c r="BL135" s="119"/>
      <c r="BM135" s="305"/>
      <c r="BN135" s="119"/>
      <c r="BO135" s="863"/>
      <c r="BP135" s="62"/>
      <c r="BQ135" s="182"/>
      <c r="BR135" s="182"/>
      <c r="BS135" s="182"/>
      <c r="BT135" s="182"/>
      <c r="BU135" s="182"/>
      <c r="BV135" s="182"/>
      <c r="BW135" s="182"/>
      <c r="BX135" s="182"/>
      <c r="BY135" s="182"/>
      <c r="BZ135" s="182"/>
      <c r="CA135" s="182"/>
      <c r="CB135" s="182"/>
      <c r="CC135" s="182"/>
      <c r="CD135" s="182"/>
      <c r="CE135" s="182"/>
      <c r="CF135" s="182"/>
      <c r="CG135" s="182"/>
      <c r="CH135" s="182"/>
      <c r="CI135" s="182"/>
      <c r="CJ135" s="182"/>
      <c r="CK135" s="182"/>
      <c r="CL135" s="182"/>
      <c r="CM135" s="182"/>
      <c r="CN135" s="182"/>
      <c r="CO135" s="182"/>
      <c r="CP135" s="182"/>
      <c r="CQ135" s="182"/>
      <c r="CR135" s="182"/>
      <c r="CS135" s="182"/>
      <c r="CT135" s="182"/>
      <c r="CU135" s="182"/>
      <c r="CV135" s="182"/>
      <c r="CW135" s="182"/>
      <c r="CX135" s="182"/>
      <c r="CY135" s="182"/>
      <c r="CZ135" s="182"/>
      <c r="DA135" s="182"/>
      <c r="DB135" s="182"/>
      <c r="DF135" s="735"/>
    </row>
    <row r="136" spans="2:110" ht="45" customHeight="1" thickBot="1" x14ac:dyDescent="0.3">
      <c r="B136" s="18">
        <v>1</v>
      </c>
      <c r="C136" s="392"/>
      <c r="D136" s="393" t="s">
        <v>214</v>
      </c>
      <c r="E136" s="279"/>
      <c r="F136" s="279"/>
      <c r="G136" s="279"/>
      <c r="H136" s="902" t="s">
        <v>227</v>
      </c>
      <c r="I136" s="902" t="s">
        <v>216</v>
      </c>
      <c r="J136" s="394"/>
      <c r="K136" s="394"/>
      <c r="L136" s="394"/>
      <c r="M136" s="394"/>
      <c r="N136" s="394"/>
      <c r="O136" s="394"/>
      <c r="P136" s="394"/>
      <c r="Q136" s="394"/>
      <c r="R136" s="394"/>
      <c r="S136" s="395"/>
      <c r="T136" s="396"/>
      <c r="U136" s="304"/>
      <c r="V136" s="397"/>
      <c r="W136" s="1131" t="s">
        <v>82</v>
      </c>
      <c r="X136" s="1131"/>
      <c r="Y136" s="1131"/>
      <c r="Z136" s="1131"/>
      <c r="AA136" s="1131"/>
      <c r="AB136" s="397"/>
      <c r="AC136" s="397"/>
      <c r="AD136" s="397"/>
      <c r="AE136" s="397"/>
      <c r="AF136" s="397"/>
      <c r="AG136" s="397"/>
      <c r="AH136" s="397"/>
      <c r="AI136" s="397"/>
      <c r="AJ136" s="397"/>
      <c r="AK136" s="397"/>
      <c r="AL136" s="397"/>
      <c r="AM136" s="397"/>
      <c r="AN136" s="397"/>
      <c r="AO136" s="397"/>
      <c r="AP136" s="397"/>
      <c r="AQ136" s="397"/>
      <c r="AR136" s="397"/>
      <c r="AS136" s="397"/>
      <c r="AT136" s="397"/>
      <c r="AU136" s="397"/>
      <c r="AV136" s="397"/>
      <c r="AW136" s="397"/>
      <c r="AX136" s="397"/>
      <c r="AY136" s="397"/>
      <c r="AZ136" s="397"/>
      <c r="BA136" s="1132" t="s">
        <v>46</v>
      </c>
      <c r="BB136" s="1133"/>
      <c r="BC136" s="201"/>
      <c r="BE136" s="119"/>
      <c r="BF136" s="119"/>
      <c r="BG136" s="119"/>
      <c r="BH136" s="119"/>
      <c r="BI136" s="119"/>
      <c r="BJ136" s="119"/>
      <c r="BK136" s="119"/>
      <c r="BL136" s="119"/>
      <c r="BM136" s="305"/>
      <c r="BN136" s="119"/>
      <c r="BO136" s="863"/>
      <c r="BP136" s="60"/>
      <c r="BQ136" s="60"/>
      <c r="BR136" s="60"/>
      <c r="BS136" s="60"/>
      <c r="BT136" s="60"/>
      <c r="BU136" s="60"/>
      <c r="BV136" s="185"/>
      <c r="BW136" s="185"/>
      <c r="BX136" s="185"/>
      <c r="BY136" s="185"/>
      <c r="BZ136" s="185"/>
      <c r="CA136" s="185"/>
      <c r="CB136" s="185"/>
      <c r="CC136" s="185"/>
      <c r="CD136" s="185"/>
      <c r="CE136" s="185"/>
      <c r="CF136" s="185"/>
      <c r="CG136" s="185"/>
      <c r="CH136" s="185"/>
      <c r="CI136" s="185"/>
      <c r="CJ136" s="62"/>
      <c r="CK136" s="62"/>
      <c r="CL136" s="62"/>
      <c r="CM136" s="62"/>
      <c r="CN136" s="62"/>
      <c r="CO136" s="62"/>
      <c r="CP136" s="62"/>
      <c r="CQ136" s="62"/>
      <c r="CR136" s="62"/>
      <c r="CS136" s="62"/>
      <c r="CT136" s="62"/>
      <c r="CU136" s="62"/>
      <c r="CV136" s="62"/>
      <c r="CW136" s="62"/>
      <c r="CX136" s="62"/>
      <c r="CY136" s="62"/>
      <c r="CZ136" s="62"/>
      <c r="DA136" s="62"/>
      <c r="DB136" s="62"/>
      <c r="DC136" s="62"/>
      <c r="DD136" s="62"/>
    </row>
    <row r="137" spans="2:110" ht="45" hidden="1" thickBot="1" x14ac:dyDescent="0.3">
      <c r="C137" s="319"/>
      <c r="D137" s="287"/>
      <c r="H137" s="903" t="s">
        <v>4</v>
      </c>
      <c r="I137" s="904" t="s">
        <v>1</v>
      </c>
      <c r="J137" s="359" t="s">
        <v>0</v>
      </c>
      <c r="K137" s="359" t="s">
        <v>2</v>
      </c>
      <c r="L137" s="359" t="s">
        <v>3</v>
      </c>
      <c r="M137" s="359" t="s">
        <v>8</v>
      </c>
      <c r="N137" s="359" t="s">
        <v>5</v>
      </c>
      <c r="O137" s="359" t="s">
        <v>6</v>
      </c>
      <c r="P137" s="359" t="s">
        <v>7</v>
      </c>
      <c r="Q137" s="359" t="s">
        <v>9</v>
      </c>
      <c r="R137" s="367" t="s">
        <v>10</v>
      </c>
      <c r="S137" s="359" t="s">
        <v>11</v>
      </c>
      <c r="T137" s="368" t="s">
        <v>12</v>
      </c>
      <c r="V137" s="323"/>
      <c r="W137" s="1021" t="s">
        <v>281</v>
      </c>
      <c r="X137" s="275" t="s">
        <v>83</v>
      </c>
      <c r="Y137" s="1021" t="s">
        <v>282</v>
      </c>
      <c r="Z137" s="322" t="s">
        <v>89</v>
      </c>
      <c r="AA137" s="322" t="s">
        <v>85</v>
      </c>
      <c r="AB137" s="987" t="s">
        <v>248</v>
      </c>
      <c r="AC137" s="360" t="s">
        <v>88</v>
      </c>
      <c r="AD137" s="360"/>
      <c r="AE137" s="360"/>
      <c r="AF137" s="323"/>
      <c r="AG137" s="323"/>
      <c r="AH137" s="323"/>
      <c r="AI137" s="323"/>
      <c r="AJ137" s="901" t="s">
        <v>217</v>
      </c>
      <c r="AK137" s="323"/>
      <c r="AL137" s="901" t="s">
        <v>225</v>
      </c>
      <c r="AM137" s="901" t="s">
        <v>219</v>
      </c>
      <c r="AN137" s="323"/>
      <c r="AO137" s="901" t="s">
        <v>226</v>
      </c>
      <c r="AP137" s="323"/>
      <c r="AQ137" s="901" t="s">
        <v>251</v>
      </c>
      <c r="AR137" s="323"/>
      <c r="AS137" s="323"/>
      <c r="AT137" s="323"/>
      <c r="AU137" s="323" t="s">
        <v>115</v>
      </c>
      <c r="AV137" s="323"/>
      <c r="AW137" s="323"/>
      <c r="AX137" s="323"/>
      <c r="AY137" s="318"/>
      <c r="AZ137" s="323"/>
      <c r="BA137" s="323"/>
      <c r="BB137" s="323"/>
      <c r="BC137" s="212"/>
      <c r="BE137" s="119"/>
      <c r="BF137" s="119"/>
      <c r="BG137" s="119"/>
      <c r="BH137" s="119"/>
      <c r="BI137" s="119"/>
      <c r="BJ137" s="119"/>
      <c r="BK137" s="119"/>
      <c r="BL137" s="187" t="s">
        <v>53</v>
      </c>
      <c r="BM137" s="305"/>
      <c r="BN137" s="119"/>
      <c r="BO137" s="863"/>
      <c r="BP137" s="109"/>
      <c r="BQ137" s="109"/>
      <c r="BR137" s="109"/>
      <c r="BS137" s="109"/>
      <c r="BT137" s="109"/>
      <c r="BU137" s="109"/>
      <c r="BV137" s="186"/>
      <c r="BW137" s="186"/>
      <c r="BX137" s="186"/>
      <c r="BY137" s="186"/>
      <c r="BZ137" s="186"/>
      <c r="CA137" s="186"/>
      <c r="CB137" s="186"/>
      <c r="CC137" s="186"/>
      <c r="CD137" s="186"/>
      <c r="CE137" s="186"/>
      <c r="CF137" s="186"/>
      <c r="CG137" s="186"/>
      <c r="CH137" s="186"/>
      <c r="CI137" s="186"/>
    </row>
    <row r="138" spans="2:110" ht="36" customHeight="1" thickBot="1" x14ac:dyDescent="0.25">
      <c r="B138" s="398"/>
      <c r="C138" s="218"/>
      <c r="D138" s="399" t="s">
        <v>20</v>
      </c>
      <c r="E138" s="277"/>
      <c r="F138" s="400"/>
      <c r="G138" s="221"/>
      <c r="H138" s="370"/>
      <c r="I138" s="371"/>
      <c r="R138" s="367"/>
      <c r="T138" s="372"/>
      <c r="V138" s="323"/>
      <c r="W138" s="323"/>
      <c r="X138" s="323"/>
      <c r="Y138" s="323"/>
      <c r="Z138" s="323"/>
      <c r="AA138" s="323"/>
      <c r="AC138" s="383">
        <f>SUM(AC139:AC164)</f>
        <v>213.34350003963542</v>
      </c>
      <c r="AD138" s="37"/>
      <c r="AE138" s="37"/>
      <c r="AF138" s="323" t="s">
        <v>36</v>
      </c>
      <c r="AG138" s="323"/>
      <c r="AH138" s="328" t="s">
        <v>29</v>
      </c>
      <c r="AI138" s="401"/>
      <c r="AJ138" s="905" t="s">
        <v>218</v>
      </c>
      <c r="AK138" s="1025" t="s">
        <v>30</v>
      </c>
      <c r="AL138" s="907" t="s">
        <v>31</v>
      </c>
      <c r="AM138" s="905" t="s">
        <v>220</v>
      </c>
      <c r="AN138" s="330" t="s">
        <v>32</v>
      </c>
      <c r="AO138" s="905" t="s">
        <v>33</v>
      </c>
      <c r="AP138" s="331" t="s">
        <v>133</v>
      </c>
      <c r="AQ138" s="227" t="s">
        <v>34</v>
      </c>
      <c r="AR138" s="998" t="s">
        <v>293</v>
      </c>
      <c r="AS138" s="323" t="s">
        <v>35</v>
      </c>
      <c r="AT138" s="323" t="s">
        <v>37</v>
      </c>
      <c r="AU138" s="331" t="s">
        <v>294</v>
      </c>
      <c r="AV138" s="323"/>
      <c r="AW138" s="332" t="s">
        <v>39</v>
      </c>
      <c r="AX138" s="332" t="s">
        <v>40</v>
      </c>
      <c r="AY138" s="333" t="s">
        <v>21</v>
      </c>
      <c r="AZ138" s="333" t="s">
        <v>22</v>
      </c>
      <c r="BA138" s="402" t="s">
        <v>21</v>
      </c>
      <c r="BB138" s="402" t="s">
        <v>22</v>
      </c>
      <c r="BE138" s="119"/>
      <c r="BF138" s="119"/>
      <c r="BG138" s="119"/>
      <c r="BH138" s="119"/>
      <c r="BI138" s="119"/>
      <c r="BJ138" s="119"/>
      <c r="BL138" s="187">
        <f>-+BH181</f>
        <v>700.68307825869203</v>
      </c>
      <c r="BM138" s="305"/>
      <c r="BN138" s="170"/>
      <c r="BO138" s="863"/>
      <c r="BP138" s="48"/>
      <c r="BS138" s="109"/>
      <c r="BT138" s="109"/>
      <c r="BU138" s="109"/>
      <c r="BV138" s="186"/>
      <c r="BW138" s="186"/>
      <c r="BX138" s="186"/>
      <c r="BY138" s="186"/>
      <c r="BZ138" s="186"/>
      <c r="CA138" s="186"/>
      <c r="CB138" s="186"/>
      <c r="CC138" s="186"/>
      <c r="CD138" s="186"/>
      <c r="CE138" s="186"/>
      <c r="CF138" s="186"/>
      <c r="CG138" s="186"/>
      <c r="CH138" s="186"/>
      <c r="CI138" s="186"/>
      <c r="CR138" s="48"/>
      <c r="DD138" s="187" t="s">
        <v>52</v>
      </c>
    </row>
    <row r="139" spans="2:110" ht="21" customHeight="1" thickBot="1" x14ac:dyDescent="0.25">
      <c r="B139" s="232">
        <v>1</v>
      </c>
      <c r="C139" s="233">
        <f>+(B132*-1)+D139</f>
        <v>1</v>
      </c>
      <c r="D139" s="16">
        <v>1</v>
      </c>
      <c r="E139" s="234" t="s">
        <v>106</v>
      </c>
      <c r="F139" s="235"/>
      <c r="G139" s="235">
        <f>+D139</f>
        <v>1</v>
      </c>
      <c r="H139" s="888">
        <v>251.073172</v>
      </c>
      <c r="I139" s="889">
        <v>65.636175100000003</v>
      </c>
      <c r="J139" s="374">
        <f>+I139-C139</f>
        <v>64.636175100000003</v>
      </c>
      <c r="K139" s="374">
        <f>+J139/2</f>
        <v>32.318087550000001</v>
      </c>
      <c r="L139" s="374">
        <f t="shared" ref="L139:L164" si="5">SIN(K139*3.14159265358979/180)</f>
        <v>0.53461916118589337</v>
      </c>
      <c r="M139" s="374">
        <f t="shared" ref="M139:M164" si="6">+L139*H139</f>
        <v>134.22852861092153</v>
      </c>
      <c r="N139" s="374">
        <f t="shared" ref="N139:N164" si="7">+M139*2</f>
        <v>268.45705722184306</v>
      </c>
      <c r="O139" s="374">
        <f>+C139/2</f>
        <v>0.5</v>
      </c>
      <c r="P139" s="374">
        <f t="shared" ref="P139:P164" si="8">SIN(O139*3.14159265358979/180)</f>
        <v>8.726535498373926E-3</v>
      </c>
      <c r="Q139" s="374">
        <f t="shared" ref="Q139:Q164" si="9">+P139*N139</f>
        <v>2.3427000396354138</v>
      </c>
      <c r="R139" s="963">
        <v>211.0008</v>
      </c>
      <c r="S139" s="374">
        <f>+R139+Q139</f>
        <v>213.34350003963542</v>
      </c>
      <c r="T139" s="375">
        <f t="shared" ref="T139:T164" si="10">+S139</f>
        <v>213.34350003963542</v>
      </c>
      <c r="V139" s="929">
        <f t="shared" ref="V139:V164" si="11">IF(B139&lt;($B$136+1),T139,0)</f>
        <v>213.34350003963542</v>
      </c>
      <c r="W139" s="340">
        <v>32.818087599999998</v>
      </c>
      <c r="X139" s="340">
        <f>+W139+AI166</f>
        <v>33.818087599999998</v>
      </c>
      <c r="Y139" s="340">
        <v>251.073172</v>
      </c>
      <c r="Z139" s="340">
        <f>+COS(X139*3.14159265358979/180)*Y139</f>
        <v>208.59380373499741</v>
      </c>
      <c r="AA139" s="340">
        <f>+AC138-Z139</f>
        <v>4.7496963046380074</v>
      </c>
      <c r="AB139" s="235" t="str">
        <f>IF(AZ139&lt;0,"use the locking pin"," ")</f>
        <v xml:space="preserve"> </v>
      </c>
      <c r="AC139" s="377">
        <f>IF(AD139=1,AF139)</f>
        <v>213.34350003963542</v>
      </c>
      <c r="AD139" s="377">
        <f>MAX(AE$139:AE$164)</f>
        <v>1</v>
      </c>
      <c r="AE139" s="377">
        <f>IF(V139=0,0,1)</f>
        <v>1</v>
      </c>
      <c r="AF139" s="966">
        <f>SUM(V139:V164)/($B$136)</f>
        <v>213.34350003963542</v>
      </c>
      <c r="AG139" s="971"/>
      <c r="AH139" s="353">
        <f>C139</f>
        <v>1</v>
      </c>
      <c r="AI139" s="944">
        <f>IF(B139&lt;($B$136+1),AH139)</f>
        <v>1</v>
      </c>
      <c r="AJ139" s="575">
        <f>75.4990086-AH139</f>
        <v>74.499008599999996</v>
      </c>
      <c r="AK139" s="944">
        <f t="shared" ref="AK139:AK164" si="12">SIN(AJ139*3.14159265358979/180)</f>
        <v>0.96362582898684701</v>
      </c>
      <c r="AL139" s="944">
        <f>+AK139*290.642868</f>
        <v>280.07097461561477</v>
      </c>
      <c r="AM139" s="968">
        <f>57.1819124+AH139</f>
        <v>58.181912400000002</v>
      </c>
      <c r="AN139" s="944">
        <f>SIN(AM139*3.14159265358979/180)</f>
        <v>0.84972629692714396</v>
      </c>
      <c r="AO139" s="969">
        <f>+AN139*251.073172</f>
        <v>213.34347670131189</v>
      </c>
      <c r="AP139" s="342">
        <f t="shared" ref="AP139:AP158" si="13">+((AF139*AQ139)+($AG$178*$AQ$178)+($AQ$202*$AG$202))/AR139</f>
        <v>186.08875930252108</v>
      </c>
      <c r="AQ139" s="347">
        <f>$C$14*B136</f>
        <v>29.3</v>
      </c>
      <c r="AR139" s="347">
        <f t="shared" ref="AR139:AR158" si="14">+AQ139+$AQ$202+$AQ$178+31+31</f>
        <v>177.6</v>
      </c>
      <c r="AS139" s="348">
        <f>+AO139+AL139</f>
        <v>493.41445131692666</v>
      </c>
      <c r="AT139" s="348">
        <f>+V139-AO139</f>
        <v>2.3338323529742411E-5</v>
      </c>
      <c r="AU139" s="348">
        <f>+AP139-AT139</f>
        <v>186.08873596419755</v>
      </c>
      <c r="AV139" s="350"/>
      <c r="AW139" s="350">
        <f>+((AS139-AU139)/AS139)*AR139</f>
        <v>110.61906861659097</v>
      </c>
      <c r="AX139" s="351">
        <f>+(AU139/AS139)*AR139</f>
        <v>66.980931383409029</v>
      </c>
      <c r="AY139" s="351">
        <f t="shared" ref="AY139:AY164" si="15">2*$C$18/AW139</f>
        <v>104.86437957822579</v>
      </c>
      <c r="AZ139" s="1043">
        <f t="shared" ref="AZ139:AZ164" si="16">$D$18/AX139</f>
        <v>149.29622197634848</v>
      </c>
      <c r="BA139" s="241">
        <f>ABS(AY139)</f>
        <v>104.86437957822579</v>
      </c>
      <c r="BB139" s="242">
        <f>ABS(AZ139)</f>
        <v>149.29622197634848</v>
      </c>
      <c r="BC139" s="74"/>
      <c r="BE139" s="119"/>
      <c r="BF139" s="119"/>
      <c r="BG139" s="119"/>
      <c r="BH139" s="119"/>
      <c r="BI139" s="119"/>
      <c r="BJ139" s="119"/>
      <c r="BK139" s="195"/>
      <c r="BM139" s="305"/>
      <c r="BN139" s="170"/>
      <c r="BO139" s="863"/>
      <c r="BP139" s="48"/>
      <c r="BS139" s="109"/>
      <c r="BT139" s="109"/>
      <c r="BU139" s="109"/>
      <c r="BV139" s="186"/>
      <c r="BW139" s="186"/>
      <c r="BX139" s="186"/>
      <c r="BY139" s="186"/>
      <c r="BZ139" s="186"/>
      <c r="CA139" s="186"/>
      <c r="CB139" s="186"/>
      <c r="CC139" s="186"/>
      <c r="CD139" s="186"/>
      <c r="CE139" s="186"/>
      <c r="CF139" s="186"/>
      <c r="CG139" s="186"/>
      <c r="CH139" s="186"/>
      <c r="CI139" s="186"/>
      <c r="CP139" s="195"/>
      <c r="CR139" s="48"/>
      <c r="DD139" s="187">
        <f>+-BH217</f>
        <v>-847.31692174130797</v>
      </c>
    </row>
    <row r="140" spans="2:110" ht="21" customHeight="1" thickBot="1" x14ac:dyDescent="0.25">
      <c r="B140" s="244">
        <v>2</v>
      </c>
      <c r="C140" s="245"/>
      <c r="D140" s="16">
        <v>1</v>
      </c>
      <c r="E140" s="234" t="s">
        <v>215</v>
      </c>
      <c r="F140" s="235"/>
      <c r="G140" s="235" t="e">
        <f>+D140+BC140</f>
        <v>#DIV/0!</v>
      </c>
      <c r="H140" s="888">
        <v>251.073172</v>
      </c>
      <c r="I140" s="889">
        <v>65.636175100000003</v>
      </c>
      <c r="J140" s="374">
        <f t="shared" ref="J140:J164" si="17">+I140-D140</f>
        <v>64.636175100000003</v>
      </c>
      <c r="K140" s="374">
        <f t="shared" ref="K140:K164" si="18">+J140/2</f>
        <v>32.318087550000001</v>
      </c>
      <c r="L140" s="374">
        <f t="shared" si="5"/>
        <v>0.53461916118589337</v>
      </c>
      <c r="M140" s="374">
        <f t="shared" si="6"/>
        <v>134.22852861092153</v>
      </c>
      <c r="N140" s="374">
        <f t="shared" si="7"/>
        <v>268.45705722184306</v>
      </c>
      <c r="O140" s="374">
        <f>+C139+(D140/2)</f>
        <v>1.5</v>
      </c>
      <c r="P140" s="374">
        <f t="shared" si="8"/>
        <v>2.6176948307873125E-2</v>
      </c>
      <c r="Q140" s="374">
        <f t="shared" si="9"/>
        <v>7.0273865097799231</v>
      </c>
      <c r="R140" s="374">
        <f t="shared" ref="R140:R164" si="19">+T139</f>
        <v>213.34350003963542</v>
      </c>
      <c r="S140" s="374">
        <f>+R140+Q140</f>
        <v>220.37088654941533</v>
      </c>
      <c r="T140" s="375">
        <f t="shared" si="10"/>
        <v>220.37088654941533</v>
      </c>
      <c r="V140" s="929">
        <f t="shared" si="11"/>
        <v>0</v>
      </c>
      <c r="W140" s="340"/>
      <c r="X140" s="340"/>
      <c r="Y140" s="340"/>
      <c r="Z140" s="340"/>
      <c r="AA140" s="340"/>
      <c r="AB140" s="247" t="e">
        <f t="shared" ref="AB140:AB164" si="20">IF(AZ140&lt;0,"use the locking pin"," ")</f>
        <v>#DIV/0!</v>
      </c>
      <c r="AC140" s="377" t="b">
        <f>IF(AD140=2,AF140)</f>
        <v>0</v>
      </c>
      <c r="AD140" s="377">
        <f t="shared" ref="AD140:AD164" si="21">MAX(AE$139:AE$164)</f>
        <v>1</v>
      </c>
      <c r="AE140" s="377">
        <f>IF(V140=0,0,2)</f>
        <v>0</v>
      </c>
      <c r="AF140" s="966" t="e">
        <f>SUM(V140:V164)/($B$136-B139)</f>
        <v>#DIV/0!</v>
      </c>
      <c r="AG140" s="971"/>
      <c r="AH140" s="353">
        <f>SUM(D140)+$C$139</f>
        <v>2</v>
      </c>
      <c r="AI140" s="944" t="b">
        <f t="shared" ref="AI140:AI164" si="22">IF(B140&lt;($B$136+1),AH140)</f>
        <v>0</v>
      </c>
      <c r="AJ140" s="575">
        <f t="shared" ref="AJ140:AJ164" si="23">75.4990086-AH140</f>
        <v>73.499008599999996</v>
      </c>
      <c r="AK140" s="944">
        <f t="shared" si="12"/>
        <v>0.95881482035199095</v>
      </c>
      <c r="AL140" s="944">
        <f t="shared" ref="AL140:AL164" si="24">+AK140*290.642868</f>
        <v>278.67268926800745</v>
      </c>
      <c r="AM140" s="968">
        <f t="shared" ref="AM140:AM164" si="25">57.1819124+AH140</f>
        <v>59.181912400000002</v>
      </c>
      <c r="AN140" s="944">
        <f t="shared" ref="AN140:AN164" si="26">SIN(AM140*3.14159265358979/180)</f>
        <v>0.85879820825488717</v>
      </c>
      <c r="AO140" s="969">
        <f t="shared" ref="AO140:AO164" si="27">+AN140*251.073172</f>
        <v>215.62119025447112</v>
      </c>
      <c r="AP140" s="251" t="e">
        <f t="shared" si="13"/>
        <v>#DIV/0!</v>
      </c>
      <c r="AQ140" s="347">
        <f t="shared" ref="AQ140:AQ164" si="28">$C$14*($B$136-B139)</f>
        <v>0</v>
      </c>
      <c r="AR140" s="347">
        <f t="shared" si="14"/>
        <v>148.30000000000001</v>
      </c>
      <c r="AS140" s="348">
        <f t="shared" ref="AS140:AS164" si="29">+AO140+AL140</f>
        <v>494.29387952247856</v>
      </c>
      <c r="AT140" s="348">
        <f>+V140-AO140</f>
        <v>-215.62119025447112</v>
      </c>
      <c r="AU140" s="348" t="e">
        <f t="shared" ref="AU140:AU164" si="30">+AP140-AT140</f>
        <v>#DIV/0!</v>
      </c>
      <c r="AV140" s="350"/>
      <c r="AW140" s="350" t="e">
        <f t="shared" ref="AW140:AW164" si="31">+((AS140-AU140)/AS140)*AR140</f>
        <v>#DIV/0!</v>
      </c>
      <c r="AX140" s="351" t="e">
        <f t="shared" ref="AX140:AX164" si="32">+(AU140/AS140)*AR140</f>
        <v>#DIV/0!</v>
      </c>
      <c r="AY140" s="351" t="e">
        <f t="shared" si="15"/>
        <v>#DIV/0!</v>
      </c>
      <c r="AZ140" s="1043" t="e">
        <f t="shared" si="16"/>
        <v>#DIV/0!</v>
      </c>
      <c r="BA140" s="241" t="e">
        <f t="shared" ref="BA140:BB159" si="33">ABS(AY140)</f>
        <v>#DIV/0!</v>
      </c>
      <c r="BB140" s="256" t="e">
        <f t="shared" si="33"/>
        <v>#DIV/0!</v>
      </c>
      <c r="BC140" t="e">
        <f t="shared" ref="BC140:BC164" si="34">IF(AZ140&lt;0,0.3,0)</f>
        <v>#DIV/0!</v>
      </c>
      <c r="BM140" s="305"/>
      <c r="BN140" s="119"/>
      <c r="BO140" s="863"/>
      <c r="BP140" s="109"/>
      <c r="BQ140" s="109"/>
      <c r="BR140" s="109"/>
      <c r="BS140" s="109"/>
      <c r="BT140" s="109"/>
      <c r="BU140" s="109"/>
      <c r="BV140" s="186"/>
      <c r="BW140" s="186"/>
      <c r="BX140" s="186"/>
      <c r="BY140" s="186"/>
      <c r="BZ140" s="186"/>
      <c r="CA140" s="186"/>
      <c r="CB140" s="186"/>
      <c r="CC140" s="186"/>
      <c r="CD140" s="186"/>
      <c r="CE140" s="186"/>
      <c r="CF140" s="186"/>
      <c r="CG140" s="186"/>
      <c r="CH140" s="186"/>
      <c r="CI140" s="186"/>
    </row>
    <row r="141" spans="2:110" ht="21" customHeight="1" thickBot="1" x14ac:dyDescent="0.35">
      <c r="B141" s="244">
        <v>3</v>
      </c>
      <c r="C141" s="245"/>
      <c r="D141" s="16">
        <v>1</v>
      </c>
      <c r="E141" s="234" t="s">
        <v>215</v>
      </c>
      <c r="F141" s="235"/>
      <c r="G141" s="235">
        <f>+D141+BC141</f>
        <v>1</v>
      </c>
      <c r="H141" s="888">
        <v>251.073172</v>
      </c>
      <c r="I141" s="889">
        <v>65.636175100000003</v>
      </c>
      <c r="J141" s="374">
        <f t="shared" si="17"/>
        <v>64.636175100000003</v>
      </c>
      <c r="K141" s="374">
        <f t="shared" si="18"/>
        <v>32.318087550000001</v>
      </c>
      <c r="L141" s="374">
        <f t="shared" si="5"/>
        <v>0.53461916118589337</v>
      </c>
      <c r="M141" s="374">
        <f t="shared" si="6"/>
        <v>134.22852861092153</v>
      </c>
      <c r="N141" s="374">
        <f t="shared" si="7"/>
        <v>268.45705722184306</v>
      </c>
      <c r="O141" s="374">
        <f>+C139+D140+(D141/2)</f>
        <v>2.5</v>
      </c>
      <c r="P141" s="374">
        <f t="shared" si="8"/>
        <v>4.3619387365335958E-2</v>
      </c>
      <c r="Q141" s="374">
        <f t="shared" si="9"/>
        <v>11.709932369917734</v>
      </c>
      <c r="R141" s="374">
        <f t="shared" si="19"/>
        <v>220.37088654941533</v>
      </c>
      <c r="S141" s="374">
        <f t="shared" ref="S141:S164" si="35">+S140+Q141</f>
        <v>232.08081891933307</v>
      </c>
      <c r="T141" s="375">
        <f t="shared" si="10"/>
        <v>232.08081891933307</v>
      </c>
      <c r="V141" s="929">
        <f t="shared" si="11"/>
        <v>0</v>
      </c>
      <c r="W141" s="340"/>
      <c r="X141" s="340"/>
      <c r="Y141" s="340"/>
      <c r="Z141" s="340"/>
      <c r="AA141" s="340"/>
      <c r="AB141" s="257" t="str">
        <f t="shared" si="20"/>
        <v xml:space="preserve"> </v>
      </c>
      <c r="AC141" s="377" t="b">
        <f>IF(AD141=3,AF141)</f>
        <v>0</v>
      </c>
      <c r="AD141" s="377">
        <f t="shared" si="21"/>
        <v>1</v>
      </c>
      <c r="AE141" s="377">
        <f>IF(V141=0,0,3)</f>
        <v>0</v>
      </c>
      <c r="AF141" s="966">
        <f>SUM(V141:V164)/($B$136-B140)</f>
        <v>0</v>
      </c>
      <c r="AG141" s="971"/>
      <c r="AH141" s="353">
        <f>SUM(D140:D141)+$C$139</f>
        <v>3</v>
      </c>
      <c r="AI141" s="944" t="b">
        <f t="shared" si="22"/>
        <v>0</v>
      </c>
      <c r="AJ141" s="575">
        <f t="shared" si="23"/>
        <v>72.499008599999996</v>
      </c>
      <c r="AK141" s="944">
        <f t="shared" si="12"/>
        <v>0.95371174743460796</v>
      </c>
      <c r="AL141" s="944">
        <f t="shared" si="24"/>
        <v>277.18951751968609</v>
      </c>
      <c r="AM141" s="968">
        <f t="shared" si="25"/>
        <v>60.181912400000002</v>
      </c>
      <c r="AN141" s="944">
        <f t="shared" si="26"/>
        <v>0.86760852132903066</v>
      </c>
      <c r="AO141" s="969">
        <f t="shared" si="27"/>
        <v>217.83322350430939</v>
      </c>
      <c r="AP141" s="251">
        <f t="shared" si="13"/>
        <v>225.19663110055822</v>
      </c>
      <c r="AQ141" s="347">
        <f t="shared" si="28"/>
        <v>-29.3</v>
      </c>
      <c r="AR141" s="347">
        <f t="shared" si="14"/>
        <v>119</v>
      </c>
      <c r="AS141" s="348">
        <f t="shared" si="29"/>
        <v>495.02274102399548</v>
      </c>
      <c r="AT141" s="348">
        <f>+V141-AO141</f>
        <v>-217.83322350430939</v>
      </c>
      <c r="AU141" s="348">
        <f t="shared" si="30"/>
        <v>443.02985460486764</v>
      </c>
      <c r="AV141" s="350"/>
      <c r="AW141" s="350">
        <f t="shared" si="31"/>
        <v>12.498725757684534</v>
      </c>
      <c r="AX141" s="351">
        <f t="shared" si="32"/>
        <v>106.50127424231547</v>
      </c>
      <c r="AY141" s="351">
        <f t="shared" si="15"/>
        <v>928.09460939392363</v>
      </c>
      <c r="AZ141" s="1043">
        <f t="shared" si="16"/>
        <v>93.895590180899106</v>
      </c>
      <c r="BA141" s="241">
        <f t="shared" si="33"/>
        <v>928.09460939392363</v>
      </c>
      <c r="BB141" s="242">
        <f t="shared" si="33"/>
        <v>93.895590180899106</v>
      </c>
      <c r="BC141">
        <f t="shared" si="34"/>
        <v>0</v>
      </c>
      <c r="BM141" s="197"/>
      <c r="BN141" s="197"/>
      <c r="BO141" s="197"/>
      <c r="BP141" s="109"/>
      <c r="BQ141" s="109"/>
      <c r="BR141" s="109"/>
      <c r="BS141" s="109"/>
      <c r="BT141" s="109"/>
      <c r="BU141" s="109"/>
      <c r="BV141" s="186"/>
      <c r="BW141" s="186"/>
      <c r="BX141" s="186"/>
      <c r="BY141" s="186"/>
      <c r="BZ141" s="186"/>
      <c r="CA141" s="186"/>
      <c r="CB141" s="186"/>
      <c r="CC141" s="186"/>
      <c r="CD141" s="186"/>
      <c r="CE141" s="186"/>
      <c r="CF141" s="186"/>
      <c r="CG141" s="186"/>
      <c r="CH141" s="186"/>
      <c r="CI141" s="186"/>
    </row>
    <row r="142" spans="2:110" ht="21" customHeight="1" thickBot="1" x14ac:dyDescent="0.35">
      <c r="B142" s="244">
        <v>4</v>
      </c>
      <c r="C142" s="245"/>
      <c r="D142" s="16">
        <v>1</v>
      </c>
      <c r="E142" s="234" t="s">
        <v>215</v>
      </c>
      <c r="F142" s="235"/>
      <c r="G142" s="235">
        <f>+D142+BC142</f>
        <v>1</v>
      </c>
      <c r="H142" s="888">
        <v>251.073172</v>
      </c>
      <c r="I142" s="889">
        <v>65.636175100000003</v>
      </c>
      <c r="J142" s="374">
        <f t="shared" si="17"/>
        <v>64.636175100000003</v>
      </c>
      <c r="K142" s="374">
        <f t="shared" si="18"/>
        <v>32.318087550000001</v>
      </c>
      <c r="L142" s="374">
        <f t="shared" si="5"/>
        <v>0.53461916118589337</v>
      </c>
      <c r="M142" s="374">
        <f t="shared" si="6"/>
        <v>134.22852861092153</v>
      </c>
      <c r="N142" s="374">
        <f t="shared" si="7"/>
        <v>268.45705722184306</v>
      </c>
      <c r="O142" s="374">
        <f>+C139+D140+D141+(D142/2)</f>
        <v>3.5</v>
      </c>
      <c r="P142" s="374">
        <f t="shared" si="8"/>
        <v>6.1048539534856811E-2</v>
      </c>
      <c r="Q142" s="374">
        <f t="shared" si="9"/>
        <v>16.388911271219001</v>
      </c>
      <c r="R142" s="374">
        <f t="shared" si="19"/>
        <v>232.08081891933307</v>
      </c>
      <c r="S142" s="374">
        <f t="shared" si="35"/>
        <v>248.46973019055207</v>
      </c>
      <c r="T142" s="375">
        <f t="shared" si="10"/>
        <v>248.46973019055207</v>
      </c>
      <c r="V142" s="929">
        <f t="shared" si="11"/>
        <v>0</v>
      </c>
      <c r="W142" s="340"/>
      <c r="X142" s="340"/>
      <c r="Y142" s="340"/>
      <c r="Z142" s="340"/>
      <c r="AA142" s="340"/>
      <c r="AB142" s="257" t="str">
        <f t="shared" si="20"/>
        <v xml:space="preserve"> </v>
      </c>
      <c r="AC142" s="377" t="b">
        <f>IF(AD142=4,AF142)</f>
        <v>0</v>
      </c>
      <c r="AD142" s="377">
        <f t="shared" si="21"/>
        <v>1</v>
      </c>
      <c r="AE142" s="377">
        <f>IF(V142=0,0,4)</f>
        <v>0</v>
      </c>
      <c r="AF142" s="966">
        <f>SUM(V142:V164)/($B$136-B141)</f>
        <v>0</v>
      </c>
      <c r="AG142" s="971"/>
      <c r="AH142" s="353">
        <f>SUM(D140:D142)+$C$139</f>
        <v>4</v>
      </c>
      <c r="AI142" s="944" t="b">
        <f t="shared" si="22"/>
        <v>0</v>
      </c>
      <c r="AJ142" s="575">
        <f t="shared" si="23"/>
        <v>71.499008599999996</v>
      </c>
      <c r="AK142" s="944">
        <f t="shared" si="12"/>
        <v>0.94831816468014318</v>
      </c>
      <c r="AL142" s="944">
        <f t="shared" si="24"/>
        <v>275.62191115913316</v>
      </c>
      <c r="AM142" s="968">
        <f t="shared" si="25"/>
        <v>61.181912400000002</v>
      </c>
      <c r="AN142" s="944">
        <f t="shared" si="26"/>
        <v>0.87615455244286489</v>
      </c>
      <c r="AO142" s="969">
        <f t="shared" si="27"/>
        <v>219.97890264407044</v>
      </c>
      <c r="AP142" s="251">
        <f t="shared" si="13"/>
        <v>298.75584282013853</v>
      </c>
      <c r="AQ142" s="347">
        <f t="shared" si="28"/>
        <v>-58.6</v>
      </c>
      <c r="AR142" s="347">
        <f t="shared" si="14"/>
        <v>89.7</v>
      </c>
      <c r="AS142" s="348">
        <f t="shared" si="29"/>
        <v>495.60081380320361</v>
      </c>
      <c r="AT142" s="348">
        <f>+V142-AO142</f>
        <v>-219.97890264407044</v>
      </c>
      <c r="AU142" s="348">
        <f t="shared" si="30"/>
        <v>518.73474546420903</v>
      </c>
      <c r="AV142" s="350"/>
      <c r="AW142" s="350">
        <f t="shared" si="31"/>
        <v>-4.187066712154726</v>
      </c>
      <c r="AX142" s="351">
        <f t="shared" si="32"/>
        <v>93.88706671215472</v>
      </c>
      <c r="AY142" s="351">
        <f t="shared" si="15"/>
        <v>-2770.4359155124303</v>
      </c>
      <c r="AZ142" s="1043">
        <f t="shared" si="16"/>
        <v>106.51094288267278</v>
      </c>
      <c r="BA142" s="241">
        <f t="shared" si="33"/>
        <v>2770.4359155124303</v>
      </c>
      <c r="BB142" s="242">
        <f t="shared" si="33"/>
        <v>106.51094288267278</v>
      </c>
      <c r="BC142">
        <f t="shared" si="34"/>
        <v>0</v>
      </c>
      <c r="BM142" s="197"/>
      <c r="BN142" s="197"/>
      <c r="BO142" s="197"/>
      <c r="BP142" s="109"/>
      <c r="BQ142" s="109"/>
      <c r="BR142" s="109"/>
      <c r="BS142" s="109"/>
      <c r="BT142" s="109"/>
      <c r="BU142" s="109"/>
      <c r="BV142" s="186"/>
      <c r="BW142" s="186"/>
      <c r="BX142" s="186"/>
      <c r="BY142" s="186"/>
      <c r="BZ142" s="186"/>
      <c r="CA142" s="186"/>
      <c r="CB142" s="186"/>
      <c r="CC142" s="186"/>
      <c r="CD142" s="186"/>
      <c r="CE142" s="186"/>
      <c r="CF142" s="186"/>
      <c r="CG142" s="186"/>
      <c r="CH142" s="186"/>
      <c r="CI142" s="186"/>
    </row>
    <row r="143" spans="2:110" ht="21" customHeight="1" thickBot="1" x14ac:dyDescent="0.35">
      <c r="B143" s="244">
        <v>5</v>
      </c>
      <c r="C143" s="245"/>
      <c r="D143" s="16">
        <v>1</v>
      </c>
      <c r="E143" s="234" t="s">
        <v>215</v>
      </c>
      <c r="F143" s="235"/>
      <c r="G143" s="235">
        <f>+D143+BC143</f>
        <v>1</v>
      </c>
      <c r="H143" s="888">
        <v>251.073172</v>
      </c>
      <c r="I143" s="889">
        <v>65.636175100000003</v>
      </c>
      <c r="J143" s="374">
        <f t="shared" si="17"/>
        <v>64.636175100000003</v>
      </c>
      <c r="K143" s="374">
        <f t="shared" si="18"/>
        <v>32.318087550000001</v>
      </c>
      <c r="L143" s="374">
        <f t="shared" si="5"/>
        <v>0.53461916118589337</v>
      </c>
      <c r="M143" s="374">
        <f t="shared" si="6"/>
        <v>134.22852861092153</v>
      </c>
      <c r="N143" s="374">
        <f t="shared" si="7"/>
        <v>268.45705722184306</v>
      </c>
      <c r="O143" s="374">
        <f>+C139+D140+D141+D142+(D143/2)</f>
        <v>4.5</v>
      </c>
      <c r="P143" s="374">
        <f t="shared" si="8"/>
        <v>7.845909572784486E-2</v>
      </c>
      <c r="Q143" s="374">
        <f t="shared" si="9"/>
        <v>21.062897951384109</v>
      </c>
      <c r="R143" s="374">
        <f t="shared" si="19"/>
        <v>248.46973019055207</v>
      </c>
      <c r="S143" s="374">
        <f t="shared" si="35"/>
        <v>269.53262814193619</v>
      </c>
      <c r="T143" s="375">
        <f t="shared" si="10"/>
        <v>269.53262814193619</v>
      </c>
      <c r="V143" s="929">
        <f t="shared" si="11"/>
        <v>0</v>
      </c>
      <c r="W143" s="340"/>
      <c r="X143" s="340"/>
      <c r="Y143" s="340"/>
      <c r="Z143" s="340"/>
      <c r="AA143" s="340"/>
      <c r="AB143" s="257" t="str">
        <f t="shared" si="20"/>
        <v xml:space="preserve"> </v>
      </c>
      <c r="AC143" s="377" t="b">
        <f>IF(AD143=5,AF143)</f>
        <v>0</v>
      </c>
      <c r="AD143" s="377">
        <f t="shared" si="21"/>
        <v>1</v>
      </c>
      <c r="AE143" s="377">
        <f>IF(V143=0,0,5)</f>
        <v>0</v>
      </c>
      <c r="AF143" s="966">
        <f>SUM(V143:V164)/($B$136-B142)</f>
        <v>0</v>
      </c>
      <c r="AG143" s="971"/>
      <c r="AH143" s="353">
        <f>SUM(D140:D143)+$C$139</f>
        <v>5</v>
      </c>
      <c r="AI143" s="944" t="b">
        <f t="shared" si="22"/>
        <v>0</v>
      </c>
      <c r="AJ143" s="575">
        <f t="shared" si="23"/>
        <v>70.499008599999996</v>
      </c>
      <c r="AK143" s="944">
        <f t="shared" si="12"/>
        <v>0.94263571502615251</v>
      </c>
      <c r="AL143" s="944">
        <f t="shared" si="24"/>
        <v>273.97034769443167</v>
      </c>
      <c r="AM143" s="968">
        <f t="shared" si="25"/>
        <v>62.181912400000002</v>
      </c>
      <c r="AN143" s="944">
        <f t="shared" si="26"/>
        <v>0.88443369839252528</v>
      </c>
      <c r="AO143" s="969">
        <f t="shared" si="27"/>
        <v>222.05757407910264</v>
      </c>
      <c r="AP143" s="251">
        <f t="shared" si="13"/>
        <v>443.68210432063626</v>
      </c>
      <c r="AQ143" s="347">
        <f t="shared" si="28"/>
        <v>-87.9</v>
      </c>
      <c r="AR143" s="347">
        <f t="shared" si="14"/>
        <v>60.399999999999991</v>
      </c>
      <c r="AS143" s="348">
        <f t="shared" si="29"/>
        <v>496.02792177353433</v>
      </c>
      <c r="AT143" s="348">
        <f t="shared" ref="AT143:AT164" si="36">+V143-AO143</f>
        <v>-222.05757407910264</v>
      </c>
      <c r="AU143" s="348">
        <f t="shared" si="30"/>
        <v>665.73967839973886</v>
      </c>
      <c r="AV143" s="350"/>
      <c r="AW143" s="350">
        <f t="shared" si="31"/>
        <v>-20.665348965784116</v>
      </c>
      <c r="AX143" s="351">
        <f t="shared" si="32"/>
        <v>81.065348965784111</v>
      </c>
      <c r="AY143" s="351">
        <f t="shared" si="15"/>
        <v>-561.32611257648102</v>
      </c>
      <c r="AZ143" s="1043">
        <f t="shared" si="16"/>
        <v>123.35726827279531</v>
      </c>
      <c r="BA143" s="241">
        <f t="shared" si="33"/>
        <v>561.32611257648102</v>
      </c>
      <c r="BB143" s="242">
        <f t="shared" si="33"/>
        <v>123.35726827279531</v>
      </c>
      <c r="BC143">
        <f t="shared" si="34"/>
        <v>0</v>
      </c>
      <c r="BM143" s="197"/>
      <c r="BN143" s="197"/>
      <c r="BO143" s="197"/>
      <c r="BP143" s="109"/>
      <c r="BQ143" s="109"/>
      <c r="BR143" s="109"/>
      <c r="BS143" s="109"/>
      <c r="BT143" s="109"/>
      <c r="BU143" s="109"/>
      <c r="BV143" s="186"/>
      <c r="BW143" s="186"/>
      <c r="BX143" s="186"/>
      <c r="BY143" s="186"/>
      <c r="BZ143" s="186"/>
      <c r="CA143" s="186"/>
      <c r="CB143" s="186"/>
      <c r="CC143" s="186"/>
      <c r="CD143" s="186"/>
      <c r="CE143" s="186"/>
      <c r="CF143" s="186"/>
      <c r="CG143" s="186"/>
      <c r="CH143" s="186"/>
      <c r="CI143" s="186"/>
    </row>
    <row r="144" spans="2:110" ht="21" customHeight="1" thickBot="1" x14ac:dyDescent="0.35">
      <c r="B144" s="244">
        <v>6</v>
      </c>
      <c r="C144" s="245"/>
      <c r="D144" s="16">
        <v>1</v>
      </c>
      <c r="E144" s="234" t="s">
        <v>215</v>
      </c>
      <c r="F144" s="235"/>
      <c r="G144" s="235">
        <f t="shared" ref="G144:G164" si="37">+D144+BC144</f>
        <v>1</v>
      </c>
      <c r="H144" s="888">
        <v>251.073172</v>
      </c>
      <c r="I144" s="889">
        <v>65.636175100000003</v>
      </c>
      <c r="J144" s="374">
        <f t="shared" si="17"/>
        <v>64.636175100000003</v>
      </c>
      <c r="K144" s="374">
        <f t="shared" si="18"/>
        <v>32.318087550000001</v>
      </c>
      <c r="L144" s="374">
        <f t="shared" si="5"/>
        <v>0.53461916118589337</v>
      </c>
      <c r="M144" s="374">
        <f t="shared" si="6"/>
        <v>134.22852861092153</v>
      </c>
      <c r="N144" s="374">
        <f t="shared" si="7"/>
        <v>268.45705722184306</v>
      </c>
      <c r="O144" s="374">
        <f>+C139+D140+D141+D142+D143+(D144/2)</f>
        <v>5.5</v>
      </c>
      <c r="P144" s="374">
        <f t="shared" si="8"/>
        <v>9.5845752520223898E-2</v>
      </c>
      <c r="Q144" s="374">
        <f t="shared" si="9"/>
        <v>25.730468668792355</v>
      </c>
      <c r="R144" s="374">
        <f t="shared" si="19"/>
        <v>269.53262814193619</v>
      </c>
      <c r="S144" s="374">
        <f t="shared" si="35"/>
        <v>295.26309681072854</v>
      </c>
      <c r="T144" s="375">
        <f t="shared" si="10"/>
        <v>295.26309681072854</v>
      </c>
      <c r="V144" s="929">
        <f t="shared" si="11"/>
        <v>0</v>
      </c>
      <c r="W144" s="340"/>
      <c r="X144" s="340"/>
      <c r="Y144" s="340"/>
      <c r="Z144" s="340"/>
      <c r="AA144" s="340"/>
      <c r="AB144" s="257" t="str">
        <f t="shared" si="20"/>
        <v xml:space="preserve"> </v>
      </c>
      <c r="AC144" s="377" t="b">
        <f>IF(AD144=6,AF144)</f>
        <v>0</v>
      </c>
      <c r="AD144" s="377">
        <f t="shared" si="21"/>
        <v>1</v>
      </c>
      <c r="AE144" s="377">
        <f>IF(V144=0,0,6)</f>
        <v>0</v>
      </c>
      <c r="AF144" s="966">
        <f>SUM(V144:V164)/($B$136-B143)</f>
        <v>0</v>
      </c>
      <c r="AG144" s="971"/>
      <c r="AH144" s="353">
        <f>SUM(D140:D144)+$C$139</f>
        <v>6</v>
      </c>
      <c r="AI144" s="944" t="b">
        <f t="shared" si="22"/>
        <v>0</v>
      </c>
      <c r="AJ144" s="575">
        <f t="shared" si="23"/>
        <v>69.499008599999996</v>
      </c>
      <c r="AK144" s="944">
        <f t="shared" si="12"/>
        <v>0.93666612940184768</v>
      </c>
      <c r="AL144" s="944">
        <f t="shared" si="24"/>
        <v>272.23533020781213</v>
      </c>
      <c r="AM144" s="968">
        <f t="shared" si="25"/>
        <v>63.181912400000002</v>
      </c>
      <c r="AN144" s="944">
        <f t="shared" si="26"/>
        <v>0.8924434372699539</v>
      </c>
      <c r="AO144" s="969">
        <f t="shared" si="27"/>
        <v>224.06860462595034</v>
      </c>
      <c r="AP144" s="251">
        <f t="shared" si="13"/>
        <v>861.68485855197537</v>
      </c>
      <c r="AQ144" s="347">
        <f t="shared" si="28"/>
        <v>-117.2</v>
      </c>
      <c r="AR144" s="347">
        <f t="shared" si="14"/>
        <v>31.099999999999994</v>
      </c>
      <c r="AS144" s="348">
        <f t="shared" si="29"/>
        <v>496.30393483376247</v>
      </c>
      <c r="AT144" s="348">
        <f t="shared" si="36"/>
        <v>-224.06860462595034</v>
      </c>
      <c r="AU144" s="348">
        <f t="shared" si="30"/>
        <v>1085.7534631779258</v>
      </c>
      <c r="AV144" s="350"/>
      <c r="AW144" s="350">
        <f t="shared" si="31"/>
        <v>-36.936802319819932</v>
      </c>
      <c r="AX144" s="351">
        <f t="shared" si="32"/>
        <v>68.036802319819927</v>
      </c>
      <c r="AY144" s="351">
        <f t="shared" si="15"/>
        <v>-314.04992504658566</v>
      </c>
      <c r="AZ144" s="1043">
        <f t="shared" si="16"/>
        <v>146.97927678895164</v>
      </c>
      <c r="BA144" s="241">
        <f t="shared" si="33"/>
        <v>314.04992504658566</v>
      </c>
      <c r="BB144" s="242">
        <f t="shared" si="33"/>
        <v>146.97927678895164</v>
      </c>
      <c r="BC144">
        <f t="shared" si="34"/>
        <v>0</v>
      </c>
      <c r="BM144" s="197"/>
      <c r="BN144" s="197"/>
      <c r="BO144" s="197"/>
      <c r="CI144" s="217"/>
      <c r="CJ144" s="217"/>
      <c r="CK144" s="217"/>
      <c r="CL144" s="217"/>
      <c r="CM144" s="217"/>
      <c r="CN144" s="217"/>
    </row>
    <row r="145" spans="1:129" ht="21" customHeight="1" thickBot="1" x14ac:dyDescent="0.35">
      <c r="B145" s="244">
        <v>7</v>
      </c>
      <c r="C145" s="245"/>
      <c r="D145" s="16">
        <v>1</v>
      </c>
      <c r="E145" s="234" t="s">
        <v>215</v>
      </c>
      <c r="F145" s="235"/>
      <c r="G145" s="235">
        <f t="shared" si="37"/>
        <v>1</v>
      </c>
      <c r="H145" s="888">
        <v>251.073172</v>
      </c>
      <c r="I145" s="889">
        <v>65.636175100000003</v>
      </c>
      <c r="J145" s="374">
        <f t="shared" si="17"/>
        <v>64.636175100000003</v>
      </c>
      <c r="K145" s="374">
        <f t="shared" si="18"/>
        <v>32.318087550000001</v>
      </c>
      <c r="L145" s="374">
        <f t="shared" si="5"/>
        <v>0.53461916118589337</v>
      </c>
      <c r="M145" s="374">
        <f t="shared" si="6"/>
        <v>134.22852861092153</v>
      </c>
      <c r="N145" s="374">
        <f t="shared" si="7"/>
        <v>268.45705722184306</v>
      </c>
      <c r="O145" s="374">
        <f>+C139+D140+D141+D142+D143+D144+(D145/2)</f>
        <v>6.5</v>
      </c>
      <c r="P145" s="374">
        <f t="shared" si="8"/>
        <v>0.11320321376790661</v>
      </c>
      <c r="Q145" s="374">
        <f t="shared" si="9"/>
        <v>30.390201636187438</v>
      </c>
      <c r="R145" s="374">
        <f t="shared" si="19"/>
        <v>295.26309681072854</v>
      </c>
      <c r="S145" s="374">
        <f t="shared" si="35"/>
        <v>325.65329844691598</v>
      </c>
      <c r="T145" s="375">
        <f t="shared" si="10"/>
        <v>325.65329844691598</v>
      </c>
      <c r="V145" s="929">
        <f t="shared" si="11"/>
        <v>0</v>
      </c>
      <c r="W145" s="340"/>
      <c r="X145" s="340"/>
      <c r="Y145" s="340"/>
      <c r="Z145" s="340"/>
      <c r="AA145" s="340"/>
      <c r="AB145" s="257" t="str">
        <f t="shared" si="20"/>
        <v xml:space="preserve"> </v>
      </c>
      <c r="AC145" s="377" t="b">
        <f>IF(AD145=7,AF145)</f>
        <v>0</v>
      </c>
      <c r="AD145" s="377">
        <f t="shared" si="21"/>
        <v>1</v>
      </c>
      <c r="AE145" s="377">
        <f>IF(V145=0,0,7)</f>
        <v>0</v>
      </c>
      <c r="AF145" s="966">
        <f>SUM(V145:V164)/($B$136-B144)</f>
        <v>0</v>
      </c>
      <c r="AG145" s="971"/>
      <c r="AH145" s="353">
        <f>SUM(D140:D145)+$C$139</f>
        <v>7</v>
      </c>
      <c r="AI145" s="944" t="b">
        <f t="shared" si="22"/>
        <v>0</v>
      </c>
      <c r="AJ145" s="575">
        <f t="shared" si="23"/>
        <v>68.499008599999996</v>
      </c>
      <c r="AK145" s="944">
        <f t="shared" si="12"/>
        <v>0.93041122620083849</v>
      </c>
      <c r="AL145" s="944">
        <f t="shared" si="24"/>
        <v>270.41738720240846</v>
      </c>
      <c r="AM145" s="968">
        <f t="shared" si="25"/>
        <v>64.181912400000002</v>
      </c>
      <c r="AN145" s="944">
        <f t="shared" si="26"/>
        <v>0.90018132923109617</v>
      </c>
      <c r="AO145" s="969">
        <f t="shared" si="27"/>
        <v>226.01138170522765</v>
      </c>
      <c r="AP145" s="251">
        <f t="shared" si="13"/>
        <v>14887.999500536927</v>
      </c>
      <c r="AQ145" s="347">
        <f t="shared" si="28"/>
        <v>-146.5</v>
      </c>
      <c r="AR145" s="347">
        <f t="shared" si="14"/>
        <v>1.7999999999999972</v>
      </c>
      <c r="AS145" s="348">
        <f t="shared" si="29"/>
        <v>496.42876890763614</v>
      </c>
      <c r="AT145" s="348">
        <f t="shared" si="36"/>
        <v>-226.01138170522765</v>
      </c>
      <c r="AU145" s="348">
        <f t="shared" si="30"/>
        <v>15114.010882242155</v>
      </c>
      <c r="AV145" s="350"/>
      <c r="AW145" s="350">
        <f t="shared" si="31"/>
        <v>-53.001859384377354</v>
      </c>
      <c r="AX145" s="351">
        <f t="shared" si="32"/>
        <v>54.801859384377352</v>
      </c>
      <c r="AY145" s="351">
        <f t="shared" si="15"/>
        <v>-218.86024631466375</v>
      </c>
      <c r="AZ145" s="1043">
        <f t="shared" si="16"/>
        <v>182.47556036120102</v>
      </c>
      <c r="BA145" s="241">
        <f t="shared" si="33"/>
        <v>218.86024631466375</v>
      </c>
      <c r="BB145" s="242">
        <f t="shared" si="33"/>
        <v>182.47556036120102</v>
      </c>
      <c r="BC145">
        <f t="shared" si="34"/>
        <v>0</v>
      </c>
      <c r="BM145" s="197"/>
      <c r="BN145" s="197"/>
      <c r="BO145" s="197"/>
    </row>
    <row r="146" spans="1:129" ht="21" customHeight="1" thickBot="1" x14ac:dyDescent="0.35">
      <c r="B146" s="244">
        <v>8</v>
      </c>
      <c r="C146" s="245"/>
      <c r="D146" s="16">
        <v>1</v>
      </c>
      <c r="E146" s="234" t="s">
        <v>215</v>
      </c>
      <c r="F146" s="235"/>
      <c r="G146" s="235">
        <f t="shared" si="37"/>
        <v>1</v>
      </c>
      <c r="H146" s="888">
        <v>251.073172</v>
      </c>
      <c r="I146" s="889">
        <v>65.636175100000003</v>
      </c>
      <c r="J146" s="374">
        <f t="shared" si="17"/>
        <v>64.636175100000003</v>
      </c>
      <c r="K146" s="374">
        <f t="shared" si="18"/>
        <v>32.318087550000001</v>
      </c>
      <c r="L146" s="374">
        <f t="shared" si="5"/>
        <v>0.53461916118589337</v>
      </c>
      <c r="M146" s="374">
        <f t="shared" si="6"/>
        <v>134.22852861092153</v>
      </c>
      <c r="N146" s="374">
        <f t="shared" si="7"/>
        <v>268.45705722184306</v>
      </c>
      <c r="O146" s="374">
        <f>+C139+D140+D141+D142+D143+D144+D145+(D146/2)</f>
        <v>7.5</v>
      </c>
      <c r="P146" s="374">
        <f t="shared" si="8"/>
        <v>0.13052619222005146</v>
      </c>
      <c r="Q146" s="374">
        <f t="shared" si="9"/>
        <v>35.040677453767643</v>
      </c>
      <c r="R146" s="374">
        <f t="shared" si="19"/>
        <v>325.65329844691598</v>
      </c>
      <c r="S146" s="374">
        <f t="shared" si="35"/>
        <v>360.69397590068365</v>
      </c>
      <c r="T146" s="375">
        <f t="shared" si="10"/>
        <v>360.69397590068365</v>
      </c>
      <c r="V146" s="929">
        <f t="shared" si="11"/>
        <v>0</v>
      </c>
      <c r="W146" s="340"/>
      <c r="X146" s="340"/>
      <c r="Y146" s="340"/>
      <c r="Z146" s="340"/>
      <c r="AA146" s="340"/>
      <c r="AB146" s="257" t="str">
        <f t="shared" si="20"/>
        <v xml:space="preserve"> </v>
      </c>
      <c r="AC146" s="377" t="b">
        <f>IF(AD146=8,AF146)</f>
        <v>0</v>
      </c>
      <c r="AD146" s="377">
        <f t="shared" si="21"/>
        <v>1</v>
      </c>
      <c r="AE146" s="377">
        <f>IF(V146=0,0,8)</f>
        <v>0</v>
      </c>
      <c r="AF146" s="966">
        <f>SUM(V146:V164)/($B$136-B145)</f>
        <v>0</v>
      </c>
      <c r="AG146" s="971"/>
      <c r="AH146" s="353">
        <f>SUM(D140:D146)+$C$139</f>
        <v>8</v>
      </c>
      <c r="AI146" s="944" t="b">
        <f t="shared" si="22"/>
        <v>0</v>
      </c>
      <c r="AJ146" s="575">
        <f t="shared" si="23"/>
        <v>67.499008599999996</v>
      </c>
      <c r="AK146" s="944">
        <f t="shared" si="12"/>
        <v>0.92387291072723265</v>
      </c>
      <c r="AL146" s="944">
        <f t="shared" si="24"/>
        <v>268.5170724412709</v>
      </c>
      <c r="AM146" s="968">
        <f t="shared" si="25"/>
        <v>65.181912400000002</v>
      </c>
      <c r="AN146" s="944">
        <f t="shared" si="26"/>
        <v>0.9076450172391024</v>
      </c>
      <c r="AO146" s="969">
        <f t="shared" si="27"/>
        <v>227.88531352821613</v>
      </c>
      <c r="AP146" s="251">
        <f t="shared" si="13"/>
        <v>-974.4872400351428</v>
      </c>
      <c r="AQ146" s="347">
        <f t="shared" si="28"/>
        <v>-175.8</v>
      </c>
      <c r="AR146" s="347">
        <f t="shared" si="14"/>
        <v>-27.5</v>
      </c>
      <c r="AS146" s="348">
        <f t="shared" si="29"/>
        <v>496.402385969487</v>
      </c>
      <c r="AT146" s="348">
        <f t="shared" si="36"/>
        <v>-227.88531352821613</v>
      </c>
      <c r="AU146" s="348">
        <f t="shared" si="30"/>
        <v>-746.6019265069267</v>
      </c>
      <c r="AV146" s="350"/>
      <c r="AW146" s="350">
        <f t="shared" si="31"/>
        <v>-68.86070566792668</v>
      </c>
      <c r="AX146" s="351">
        <f t="shared" si="32"/>
        <v>41.360705667926673</v>
      </c>
      <c r="AY146" s="351">
        <f t="shared" si="15"/>
        <v>-168.45601402837414</v>
      </c>
      <c r="AZ146" s="1043">
        <f t="shared" si="16"/>
        <v>241.77537202307795</v>
      </c>
      <c r="BA146" s="241">
        <f t="shared" si="33"/>
        <v>168.45601402837414</v>
      </c>
      <c r="BB146" s="242">
        <f t="shared" si="33"/>
        <v>241.77537202307795</v>
      </c>
      <c r="BC146">
        <f t="shared" si="34"/>
        <v>0</v>
      </c>
      <c r="BM146" s="197"/>
      <c r="BN146" s="197"/>
      <c r="BO146" s="197"/>
    </row>
    <row r="147" spans="1:129" ht="21" customHeight="1" thickBot="1" x14ac:dyDescent="0.35">
      <c r="B147" s="244">
        <v>9</v>
      </c>
      <c r="C147" s="245"/>
      <c r="D147" s="16">
        <v>1</v>
      </c>
      <c r="E147" s="234" t="s">
        <v>215</v>
      </c>
      <c r="F147" s="235"/>
      <c r="G147" s="235">
        <f t="shared" si="37"/>
        <v>1</v>
      </c>
      <c r="H147" s="888">
        <v>251.073172</v>
      </c>
      <c r="I147" s="889">
        <v>65.636175100000003</v>
      </c>
      <c r="J147" s="374">
        <f t="shared" si="17"/>
        <v>64.636175100000003</v>
      </c>
      <c r="K147" s="374">
        <f t="shared" si="18"/>
        <v>32.318087550000001</v>
      </c>
      <c r="L147" s="374">
        <f t="shared" si="5"/>
        <v>0.53461916118589337</v>
      </c>
      <c r="M147" s="374">
        <f t="shared" si="6"/>
        <v>134.22852861092153</v>
      </c>
      <c r="N147" s="374">
        <f t="shared" si="7"/>
        <v>268.45705722184306</v>
      </c>
      <c r="O147" s="374">
        <f>+C139+D140+D141+D142+D143+D144+D145+D146+(D147/2)</f>
        <v>8.5</v>
      </c>
      <c r="P147" s="374">
        <f t="shared" si="8"/>
        <v>0.14780941112961046</v>
      </c>
      <c r="Q147" s="374">
        <f t="shared" si="9"/>
        <v>39.680479541548763</v>
      </c>
      <c r="R147" s="374">
        <f t="shared" si="19"/>
        <v>360.69397590068365</v>
      </c>
      <c r="S147" s="374">
        <f t="shared" si="35"/>
        <v>400.37445544223243</v>
      </c>
      <c r="T147" s="375">
        <f t="shared" si="10"/>
        <v>400.37445544223243</v>
      </c>
      <c r="V147" s="929">
        <f t="shared" si="11"/>
        <v>0</v>
      </c>
      <c r="W147" s="340"/>
      <c r="X147" s="340"/>
      <c r="Y147" s="340"/>
      <c r="Z147" s="340"/>
      <c r="AA147" s="340"/>
      <c r="AB147" s="257" t="str">
        <f t="shared" si="20"/>
        <v xml:space="preserve"> </v>
      </c>
      <c r="AC147" s="377" t="b">
        <f>IF(AD147=9,AF147)</f>
        <v>0</v>
      </c>
      <c r="AD147" s="377">
        <f t="shared" si="21"/>
        <v>1</v>
      </c>
      <c r="AE147" s="377">
        <f>IF(V147=0,0,9)</f>
        <v>0</v>
      </c>
      <c r="AF147" s="966">
        <f>SUM(V147:V164)/($B$136-B146)</f>
        <v>0</v>
      </c>
      <c r="AG147" s="971"/>
      <c r="AH147" s="353">
        <f>SUM(D140:D147)+$C$139</f>
        <v>9</v>
      </c>
      <c r="AI147" s="944" t="b">
        <f t="shared" si="22"/>
        <v>0</v>
      </c>
      <c r="AJ147" s="575">
        <f t="shared" si="23"/>
        <v>66.499008599999996</v>
      </c>
      <c r="AK147" s="944">
        <f t="shared" si="12"/>
        <v>0.91705317461526137</v>
      </c>
      <c r="AL147" s="944">
        <f t="shared" si="24"/>
        <v>266.53496477868435</v>
      </c>
      <c r="AM147" s="968">
        <f t="shared" si="25"/>
        <v>66.181912400000002</v>
      </c>
      <c r="AN147" s="944">
        <f t="shared" si="26"/>
        <v>0.91483222778230289</v>
      </c>
      <c r="AO147" s="969">
        <f t="shared" si="27"/>
        <v>229.68982927712932</v>
      </c>
      <c r="AP147" s="251">
        <f t="shared" si="13"/>
        <v>-471.80280107335273</v>
      </c>
      <c r="AQ147" s="347">
        <f t="shared" si="28"/>
        <v>-205.1</v>
      </c>
      <c r="AR147" s="347">
        <f t="shared" si="14"/>
        <v>-56.799999999999983</v>
      </c>
      <c r="AS147" s="348">
        <f t="shared" si="29"/>
        <v>496.22479405581367</v>
      </c>
      <c r="AT147" s="348">
        <f t="shared" si="36"/>
        <v>-229.68982927712932</v>
      </c>
      <c r="AU147" s="348">
        <f t="shared" si="30"/>
        <v>-242.11297179622341</v>
      </c>
      <c r="AV147" s="350"/>
      <c r="AW147" s="350">
        <f t="shared" si="31"/>
        <v>-84.513280276919616</v>
      </c>
      <c r="AX147" s="351">
        <f t="shared" si="32"/>
        <v>27.71328027691963</v>
      </c>
      <c r="AY147" s="351">
        <f t="shared" si="15"/>
        <v>-137.25653485453378</v>
      </c>
      <c r="AZ147" s="1043">
        <f t="shared" si="16"/>
        <v>360.83783298393121</v>
      </c>
      <c r="BA147" s="241">
        <f t="shared" si="33"/>
        <v>137.25653485453378</v>
      </c>
      <c r="BB147" s="242">
        <f t="shared" si="33"/>
        <v>360.83783298393121</v>
      </c>
      <c r="BC147">
        <f t="shared" si="34"/>
        <v>0</v>
      </c>
      <c r="BM147" s="197"/>
      <c r="BN147" s="197"/>
      <c r="BO147" s="197"/>
    </row>
    <row r="148" spans="1:129" ht="21" customHeight="1" thickBot="1" x14ac:dyDescent="0.35">
      <c r="B148" s="244">
        <v>10</v>
      </c>
      <c r="C148" s="245"/>
      <c r="D148" s="16">
        <v>1</v>
      </c>
      <c r="E148" s="234" t="s">
        <v>215</v>
      </c>
      <c r="F148" s="235"/>
      <c r="G148" s="235">
        <f t="shared" si="37"/>
        <v>1</v>
      </c>
      <c r="H148" s="888">
        <v>251.073172</v>
      </c>
      <c r="I148" s="889">
        <v>65.636175100000003</v>
      </c>
      <c r="J148" s="374">
        <f t="shared" si="17"/>
        <v>64.636175100000003</v>
      </c>
      <c r="K148" s="374">
        <f t="shared" si="18"/>
        <v>32.318087550000001</v>
      </c>
      <c r="L148" s="374">
        <f t="shared" si="5"/>
        <v>0.53461916118589337</v>
      </c>
      <c r="M148" s="374">
        <f t="shared" si="6"/>
        <v>134.22852861092153</v>
      </c>
      <c r="N148" s="374">
        <f t="shared" si="7"/>
        <v>268.45705722184306</v>
      </c>
      <c r="O148" s="374">
        <f>+C139+D140+D141+D142+D143+D144+D145+D146+D147+(D148/2)</f>
        <v>9.5</v>
      </c>
      <c r="P148" s="374">
        <f t="shared" si="8"/>
        <v>0.16504760586067749</v>
      </c>
      <c r="Q148" s="374">
        <f t="shared" si="9"/>
        <v>44.308194570868096</v>
      </c>
      <c r="R148" s="374">
        <f t="shared" si="19"/>
        <v>400.37445544223243</v>
      </c>
      <c r="S148" s="374">
        <f t="shared" si="35"/>
        <v>444.68265001310056</v>
      </c>
      <c r="T148" s="375">
        <f t="shared" si="10"/>
        <v>444.68265001310056</v>
      </c>
      <c r="V148" s="929">
        <f t="shared" si="11"/>
        <v>0</v>
      </c>
      <c r="W148" s="340"/>
      <c r="X148" s="340"/>
      <c r="Y148" s="340"/>
      <c r="Z148" s="340"/>
      <c r="AA148" s="340"/>
      <c r="AB148" s="257" t="str">
        <f t="shared" si="20"/>
        <v xml:space="preserve"> </v>
      </c>
      <c r="AC148" s="377" t="b">
        <f>IF(AD148=10,AF148)</f>
        <v>0</v>
      </c>
      <c r="AD148" s="377">
        <f t="shared" si="21"/>
        <v>1</v>
      </c>
      <c r="AE148" s="377">
        <f>IF(V148=0,0,10)</f>
        <v>0</v>
      </c>
      <c r="AF148" s="966">
        <f>SUM(V148:V164)/($B$136-B147)</f>
        <v>0</v>
      </c>
      <c r="AG148" s="971"/>
      <c r="AH148" s="353">
        <f>SUM(D140:D148)+$C$139</f>
        <v>10</v>
      </c>
      <c r="AI148" s="944" t="b">
        <f t="shared" si="22"/>
        <v>0</v>
      </c>
      <c r="AJ148" s="575">
        <f t="shared" si="23"/>
        <v>65.499008599999996</v>
      </c>
      <c r="AK148" s="944">
        <f t="shared" si="12"/>
        <v>0.90995409522260873</v>
      </c>
      <c r="AL148" s="944">
        <f t="shared" si="24"/>
        <v>264.4716679838441</v>
      </c>
      <c r="AM148" s="968">
        <f t="shared" si="25"/>
        <v>67.181912400000002</v>
      </c>
      <c r="AN148" s="944">
        <f t="shared" si="26"/>
        <v>0.92174077156674206</v>
      </c>
      <c r="AO148" s="969">
        <f t="shared" si="27"/>
        <v>231.42437927898933</v>
      </c>
      <c r="AP148" s="251">
        <f t="shared" si="13"/>
        <v>-311.24737631784473</v>
      </c>
      <c r="AQ148" s="347">
        <f t="shared" si="28"/>
        <v>-234.4</v>
      </c>
      <c r="AR148" s="347">
        <f t="shared" si="14"/>
        <v>-86.1</v>
      </c>
      <c r="AS148" s="348">
        <f t="shared" si="29"/>
        <v>495.89604726283346</v>
      </c>
      <c r="AT148" s="348">
        <f t="shared" si="36"/>
        <v>-231.42437927898933</v>
      </c>
      <c r="AU148" s="348">
        <f t="shared" si="30"/>
        <v>-79.822997038855391</v>
      </c>
      <c r="AV148" s="350"/>
      <c r="AW148" s="350">
        <f t="shared" si="31"/>
        <v>-99.959275715103175</v>
      </c>
      <c r="AX148" s="351">
        <f t="shared" si="32"/>
        <v>13.859275715103184</v>
      </c>
      <c r="AY148" s="351">
        <f t="shared" si="15"/>
        <v>-116.04725941653975</v>
      </c>
      <c r="AZ148" s="1043">
        <f t="shared" si="16"/>
        <v>721.53842708406989</v>
      </c>
      <c r="BA148" s="241">
        <f t="shared" si="33"/>
        <v>116.04725941653975</v>
      </c>
      <c r="BB148" s="242">
        <f t="shared" si="33"/>
        <v>721.53842708406989</v>
      </c>
      <c r="BC148">
        <f t="shared" si="34"/>
        <v>0</v>
      </c>
      <c r="BM148" s="197"/>
      <c r="BN148" s="197"/>
      <c r="BO148" s="197"/>
    </row>
    <row r="149" spans="1:129" ht="21" customHeight="1" thickBot="1" x14ac:dyDescent="0.35">
      <c r="A149" s="258"/>
      <c r="B149" s="244">
        <v>11</v>
      </c>
      <c r="C149" s="245"/>
      <c r="D149" s="16">
        <v>1</v>
      </c>
      <c r="E149" s="234" t="s">
        <v>215</v>
      </c>
      <c r="F149" s="235"/>
      <c r="G149" s="235">
        <f t="shared" si="37"/>
        <v>1.3</v>
      </c>
      <c r="H149" s="888">
        <v>251.073172</v>
      </c>
      <c r="I149" s="889">
        <v>65.636175100000003</v>
      </c>
      <c r="J149" s="374">
        <f t="shared" si="17"/>
        <v>64.636175100000003</v>
      </c>
      <c r="K149" s="374">
        <f t="shared" si="18"/>
        <v>32.318087550000001</v>
      </c>
      <c r="L149" s="374">
        <f t="shared" si="5"/>
        <v>0.53461916118589337</v>
      </c>
      <c r="M149" s="374">
        <f t="shared" si="6"/>
        <v>134.22852861092153</v>
      </c>
      <c r="N149" s="374">
        <f t="shared" si="7"/>
        <v>268.45705722184306</v>
      </c>
      <c r="O149" s="374">
        <f>+C139+D140+D141+D142+D143+D144+D145+D146+D147+D148+(D149/2)</f>
        <v>10.5</v>
      </c>
      <c r="P149" s="374">
        <f t="shared" si="8"/>
        <v>0.18223552549214728</v>
      </c>
      <c r="Q149" s="374">
        <f t="shared" si="9"/>
        <v>48.922412894898024</v>
      </c>
      <c r="R149" s="374">
        <f t="shared" si="19"/>
        <v>444.68265001310056</v>
      </c>
      <c r="S149" s="374">
        <f t="shared" si="35"/>
        <v>493.60506290799856</v>
      </c>
      <c r="T149" s="375">
        <f t="shared" si="10"/>
        <v>493.60506290799856</v>
      </c>
      <c r="V149" s="929">
        <f t="shared" si="11"/>
        <v>0</v>
      </c>
      <c r="W149" s="340"/>
      <c r="X149" s="340"/>
      <c r="Y149" s="340"/>
      <c r="Z149" s="340"/>
      <c r="AA149" s="340"/>
      <c r="AB149" s="257" t="str">
        <f t="shared" si="20"/>
        <v>use the locking pin</v>
      </c>
      <c r="AC149" s="377" t="b">
        <f>IF(AD149=11,AF149)</f>
        <v>0</v>
      </c>
      <c r="AD149" s="377">
        <f t="shared" si="21"/>
        <v>1</v>
      </c>
      <c r="AE149" s="377">
        <f>IF(V149=0,0,11)</f>
        <v>0</v>
      </c>
      <c r="AF149" s="966">
        <f>SUM(V149:V164)/($B$136-B148)</f>
        <v>0</v>
      </c>
      <c r="AG149" s="971"/>
      <c r="AH149" s="353">
        <f>SUM(D140:D149)+$C$139</f>
        <v>11</v>
      </c>
      <c r="AI149" s="944" t="b">
        <f t="shared" si="22"/>
        <v>0</v>
      </c>
      <c r="AJ149" s="575">
        <f t="shared" si="23"/>
        <v>64.499008599999996</v>
      </c>
      <c r="AK149" s="944">
        <f t="shared" si="12"/>
        <v>0.902577834997628</v>
      </c>
      <c r="AL149" s="944">
        <f t="shared" si="24"/>
        <v>262.32781055694142</v>
      </c>
      <c r="AM149" s="968">
        <f t="shared" si="25"/>
        <v>68.181912400000002</v>
      </c>
      <c r="AN149" s="944">
        <f t="shared" si="26"/>
        <v>0.9283685441830587</v>
      </c>
      <c r="AO149" s="969">
        <f t="shared" si="27"/>
        <v>233.08843517306269</v>
      </c>
      <c r="AP149" s="251">
        <f t="shared" si="13"/>
        <v>-232.22182929780271</v>
      </c>
      <c r="AQ149" s="347">
        <f t="shared" si="28"/>
        <v>-263.7</v>
      </c>
      <c r="AR149" s="347">
        <f t="shared" si="14"/>
        <v>-115.39999999999998</v>
      </c>
      <c r="AS149" s="348">
        <f t="shared" si="29"/>
        <v>495.41624573000411</v>
      </c>
      <c r="AT149" s="348">
        <f t="shared" si="36"/>
        <v>-233.08843517306269</v>
      </c>
      <c r="AU149" s="348">
        <f t="shared" si="30"/>
        <v>0.86660587525997812</v>
      </c>
      <c r="AV149" s="350"/>
      <c r="AW149" s="350">
        <f t="shared" si="31"/>
        <v>-115.19813678120778</v>
      </c>
      <c r="AX149" s="351">
        <f t="shared" si="32"/>
        <v>-0.20186321879219055</v>
      </c>
      <c r="AY149" s="351">
        <f t="shared" si="15"/>
        <v>-100.69607307999709</v>
      </c>
      <c r="AZ149" s="1043">
        <f t="shared" si="16"/>
        <v>-49538.494728425823</v>
      </c>
      <c r="BA149" s="241">
        <f t="shared" si="33"/>
        <v>100.69607307999709</v>
      </c>
      <c r="BB149" s="242">
        <f t="shared" si="33"/>
        <v>49538.494728425823</v>
      </c>
      <c r="BC149">
        <f t="shared" si="34"/>
        <v>0.3</v>
      </c>
      <c r="BM149" s="197"/>
      <c r="BN149" s="197"/>
      <c r="BO149" s="197"/>
    </row>
    <row r="150" spans="1:129" ht="21" customHeight="1" thickBot="1" x14ac:dyDescent="0.35">
      <c r="A150" s="258"/>
      <c r="B150" s="244">
        <v>12</v>
      </c>
      <c r="C150" s="245"/>
      <c r="D150" s="16">
        <v>1</v>
      </c>
      <c r="E150" s="234" t="s">
        <v>215</v>
      </c>
      <c r="F150" s="235"/>
      <c r="G150" s="235">
        <f t="shared" si="37"/>
        <v>1.3</v>
      </c>
      <c r="H150" s="888">
        <v>251.073172</v>
      </c>
      <c r="I150" s="889">
        <v>65.636175100000003</v>
      </c>
      <c r="J150" s="374">
        <f t="shared" si="17"/>
        <v>64.636175100000003</v>
      </c>
      <c r="K150" s="374">
        <f t="shared" si="18"/>
        <v>32.318087550000001</v>
      </c>
      <c r="L150" s="374">
        <f t="shared" si="5"/>
        <v>0.53461916118589337</v>
      </c>
      <c r="M150" s="374">
        <f t="shared" si="6"/>
        <v>134.22852861092153</v>
      </c>
      <c r="N150" s="374">
        <f t="shared" si="7"/>
        <v>268.45705722184306</v>
      </c>
      <c r="O150" s="374">
        <f>+C139+D140+D141+D142+D143+D144+D145+D146+D147+D148+D149+(D150/2)</f>
        <v>11.5</v>
      </c>
      <c r="P150" s="374">
        <f t="shared" si="8"/>
        <v>0.19936793441719697</v>
      </c>
      <c r="Q150" s="374">
        <f t="shared" si="9"/>
        <v>53.521728978038098</v>
      </c>
      <c r="R150" s="374">
        <f t="shared" si="19"/>
        <v>493.60506290799856</v>
      </c>
      <c r="S150" s="374">
        <f t="shared" si="35"/>
        <v>547.1267918860367</v>
      </c>
      <c r="T150" s="375">
        <f t="shared" si="10"/>
        <v>547.1267918860367</v>
      </c>
      <c r="V150" s="929">
        <f t="shared" si="11"/>
        <v>0</v>
      </c>
      <c r="W150" s="340"/>
      <c r="X150" s="340"/>
      <c r="Y150" s="340"/>
      <c r="Z150" s="340"/>
      <c r="AA150" s="340"/>
      <c r="AB150" s="257" t="str">
        <f t="shared" si="20"/>
        <v>use the locking pin</v>
      </c>
      <c r="AC150" s="377" t="b">
        <f>IF(AD150=12,AF150)</f>
        <v>0</v>
      </c>
      <c r="AD150" s="377">
        <f t="shared" si="21"/>
        <v>1</v>
      </c>
      <c r="AE150" s="377">
        <f>IF(V150=0,0,12)</f>
        <v>0</v>
      </c>
      <c r="AF150" s="966">
        <f>SUM(V150:V164)/($B$136-B149)</f>
        <v>0</v>
      </c>
      <c r="AG150" s="971"/>
      <c r="AH150" s="353">
        <f>SUM(D140:D150)+$C$139</f>
        <v>12</v>
      </c>
      <c r="AI150" s="944" t="b">
        <f t="shared" si="22"/>
        <v>0</v>
      </c>
      <c r="AJ150" s="575">
        <f t="shared" si="23"/>
        <v>63.499008599999996</v>
      </c>
      <c r="AK150" s="944">
        <f t="shared" si="12"/>
        <v>0.89492664082063922</v>
      </c>
      <c r="AL150" s="944">
        <f t="shared" si="24"/>
        <v>260.1040455377165</v>
      </c>
      <c r="AM150" s="968">
        <f t="shared" si="25"/>
        <v>69.181912400000002</v>
      </c>
      <c r="AN150" s="944">
        <f t="shared" si="26"/>
        <v>0.93471352674750907</v>
      </c>
      <c r="AO150" s="969">
        <f t="shared" si="27"/>
        <v>234.68149007180395</v>
      </c>
      <c r="AP150" s="251">
        <f t="shared" si="13"/>
        <v>-185.19971735291244</v>
      </c>
      <c r="AQ150" s="347">
        <f t="shared" si="28"/>
        <v>-293</v>
      </c>
      <c r="AR150" s="347">
        <f t="shared" si="14"/>
        <v>-144.69999999999999</v>
      </c>
      <c r="AS150" s="348">
        <f t="shared" si="29"/>
        <v>494.78553560952048</v>
      </c>
      <c r="AT150" s="348">
        <f t="shared" si="36"/>
        <v>-234.68149007180395</v>
      </c>
      <c r="AU150" s="348">
        <f t="shared" si="30"/>
        <v>49.481772718891506</v>
      </c>
      <c r="AV150" s="350"/>
      <c r="AW150" s="350">
        <f t="shared" si="31"/>
        <v>-130.22905855745503</v>
      </c>
      <c r="AX150" s="351">
        <f t="shared" si="32"/>
        <v>-14.470941442544932</v>
      </c>
      <c r="AY150" s="351">
        <f t="shared" si="15"/>
        <v>-89.073822144558164</v>
      </c>
      <c r="AZ150" s="1043">
        <f t="shared" si="16"/>
        <v>-691.04004322757805</v>
      </c>
      <c r="BA150" s="241">
        <f t="shared" si="33"/>
        <v>89.073822144558164</v>
      </c>
      <c r="BB150" s="242">
        <f t="shared" si="33"/>
        <v>691.04004322757805</v>
      </c>
      <c r="BC150">
        <f t="shared" si="34"/>
        <v>0.3</v>
      </c>
      <c r="BM150" s="197"/>
      <c r="BN150" s="197"/>
      <c r="BO150" s="197"/>
    </row>
    <row r="151" spans="1:129" ht="21" customHeight="1" thickBot="1" x14ac:dyDescent="0.35">
      <c r="B151" s="244">
        <v>13</v>
      </c>
      <c r="C151" s="245"/>
      <c r="D151" s="16">
        <v>1</v>
      </c>
      <c r="E151" s="234" t="s">
        <v>215</v>
      </c>
      <c r="F151" s="235"/>
      <c r="G151" s="235">
        <f t="shared" si="37"/>
        <v>1.3</v>
      </c>
      <c r="H151" s="888">
        <v>251.073172</v>
      </c>
      <c r="I151" s="889">
        <v>65.636175100000003</v>
      </c>
      <c r="J151" s="374">
        <f t="shared" si="17"/>
        <v>64.636175100000003</v>
      </c>
      <c r="K151" s="374">
        <f t="shared" si="18"/>
        <v>32.318087550000001</v>
      </c>
      <c r="L151" s="374">
        <f t="shared" si="5"/>
        <v>0.53461916118589337</v>
      </c>
      <c r="M151" s="374">
        <f t="shared" si="6"/>
        <v>134.22852861092153</v>
      </c>
      <c r="N151" s="374">
        <f t="shared" si="7"/>
        <v>268.45705722184306</v>
      </c>
      <c r="O151" s="374">
        <f>+C139+D140+D141+D142+D143+D144+D145+D146+D147+D148+D149+D150+(D151/2)</f>
        <v>12.5</v>
      </c>
      <c r="P151" s="374">
        <f t="shared" si="8"/>
        <v>0.21643961393810265</v>
      </c>
      <c r="Q151" s="374">
        <f t="shared" si="9"/>
        <v>58.104741824054848</v>
      </c>
      <c r="R151" s="374">
        <f t="shared" si="19"/>
        <v>547.1267918860367</v>
      </c>
      <c r="S151" s="374">
        <f t="shared" si="35"/>
        <v>605.23153371009153</v>
      </c>
      <c r="T151" s="375">
        <f t="shared" si="10"/>
        <v>605.23153371009153</v>
      </c>
      <c r="V151" s="929">
        <f t="shared" si="11"/>
        <v>0</v>
      </c>
      <c r="W151" s="340"/>
      <c r="X151" s="340"/>
      <c r="Y151" s="340"/>
      <c r="Z151" s="340"/>
      <c r="AA151" s="340"/>
      <c r="AB151" s="257" t="str">
        <f t="shared" si="20"/>
        <v>use the locking pin</v>
      </c>
      <c r="AC151" s="377" t="b">
        <f>IF(AD151=13,AF151)</f>
        <v>0</v>
      </c>
      <c r="AD151" s="377">
        <f t="shared" si="21"/>
        <v>1</v>
      </c>
      <c r="AE151" s="377">
        <f>IF(V151=0,0,13)</f>
        <v>0</v>
      </c>
      <c r="AF151" s="966">
        <f>SUM(V151:V164)/($B$136-B150)</f>
        <v>0</v>
      </c>
      <c r="AG151" s="971"/>
      <c r="AH151" s="353">
        <f>SUM(D140:D151)+$C$139</f>
        <v>13</v>
      </c>
      <c r="AI151" s="944" t="b">
        <f t="shared" si="22"/>
        <v>0</v>
      </c>
      <c r="AJ151" s="575">
        <f t="shared" si="23"/>
        <v>62.499008599999996</v>
      </c>
      <c r="AK151" s="944">
        <f t="shared" si="12"/>
        <v>0.88700284331950752</v>
      </c>
      <c r="AL151" s="944">
        <f t="shared" si="24"/>
        <v>257.8010503065363</v>
      </c>
      <c r="AM151" s="968">
        <f t="shared" si="25"/>
        <v>70.181912400000002</v>
      </c>
      <c r="AN151" s="944">
        <f t="shared" si="26"/>
        <v>0.94077378651693899</v>
      </c>
      <c r="AO151" s="969">
        <f t="shared" si="27"/>
        <v>236.20305871525869</v>
      </c>
      <c r="AP151" s="251">
        <f t="shared" si="13"/>
        <v>-154.01378793658867</v>
      </c>
      <c r="AQ151" s="347">
        <f t="shared" si="28"/>
        <v>-322.3</v>
      </c>
      <c r="AR151" s="347">
        <f t="shared" si="14"/>
        <v>-174</v>
      </c>
      <c r="AS151" s="348">
        <f t="shared" si="29"/>
        <v>494.00410902179499</v>
      </c>
      <c r="AT151" s="348">
        <f t="shared" si="36"/>
        <v>-236.20305871525869</v>
      </c>
      <c r="AU151" s="348">
        <f t="shared" si="30"/>
        <v>82.189270778670021</v>
      </c>
      <c r="AV151" s="350"/>
      <c r="AW151" s="350">
        <f t="shared" si="31"/>
        <v>-145.05098347500257</v>
      </c>
      <c r="AX151" s="351">
        <f t="shared" si="32"/>
        <v>-28.949016524997447</v>
      </c>
      <c r="AY151" s="351">
        <f t="shared" si="15"/>
        <v>-79.971881073106218</v>
      </c>
      <c r="AZ151" s="1043">
        <f t="shared" si="16"/>
        <v>-345.43487829249779</v>
      </c>
      <c r="BA151" s="241">
        <f t="shared" si="33"/>
        <v>79.971881073106218</v>
      </c>
      <c r="BB151" s="242">
        <f t="shared" si="33"/>
        <v>345.43487829249779</v>
      </c>
      <c r="BC151">
        <f t="shared" si="34"/>
        <v>0.3</v>
      </c>
      <c r="BM151" s="197"/>
      <c r="BN151" s="197"/>
      <c r="BO151" s="197"/>
      <c r="DE151" s="109"/>
    </row>
    <row r="152" spans="1:129" ht="21" customHeight="1" thickBot="1" x14ac:dyDescent="0.35">
      <c r="B152" s="244">
        <v>14</v>
      </c>
      <c r="C152" s="245"/>
      <c r="D152" s="16">
        <v>1</v>
      </c>
      <c r="E152" s="234" t="s">
        <v>215</v>
      </c>
      <c r="F152" s="235"/>
      <c r="G152" s="235">
        <f t="shared" si="37"/>
        <v>1.3</v>
      </c>
      <c r="H152" s="888">
        <v>251.073172</v>
      </c>
      <c r="I152" s="889">
        <v>65.636175100000003</v>
      </c>
      <c r="J152" s="374">
        <f t="shared" si="17"/>
        <v>64.636175100000003</v>
      </c>
      <c r="K152" s="374">
        <f t="shared" si="18"/>
        <v>32.318087550000001</v>
      </c>
      <c r="L152" s="374">
        <f t="shared" si="5"/>
        <v>0.53461916118589337</v>
      </c>
      <c r="M152" s="374">
        <f t="shared" si="6"/>
        <v>134.22852861092153</v>
      </c>
      <c r="N152" s="374">
        <f t="shared" si="7"/>
        <v>268.45705722184306</v>
      </c>
      <c r="O152" s="374">
        <f>+C139+D140+D141+D142+D143+D144+D145+D146+D147+D148+D149+D150+D151+(D152/2)</f>
        <v>13.5</v>
      </c>
      <c r="P152" s="374">
        <f t="shared" si="8"/>
        <v>0.23344536385590517</v>
      </c>
      <c r="Q152" s="374">
        <f t="shared" si="9"/>
        <v>62.670055402838706</v>
      </c>
      <c r="R152" s="374">
        <f t="shared" si="19"/>
        <v>605.23153371009153</v>
      </c>
      <c r="S152" s="374">
        <f t="shared" si="35"/>
        <v>667.9015891129302</v>
      </c>
      <c r="T152" s="375">
        <f t="shared" si="10"/>
        <v>667.9015891129302</v>
      </c>
      <c r="V152" s="929">
        <f t="shared" si="11"/>
        <v>0</v>
      </c>
      <c r="W152" s="340"/>
      <c r="X152" s="340"/>
      <c r="Y152" s="340"/>
      <c r="Z152" s="340"/>
      <c r="AA152" s="340"/>
      <c r="AB152" s="257" t="str">
        <f t="shared" si="20"/>
        <v>use the locking pin</v>
      </c>
      <c r="AC152" s="377" t="b">
        <f>IF(AD152=14,AF152)</f>
        <v>0</v>
      </c>
      <c r="AD152" s="377">
        <f t="shared" si="21"/>
        <v>1</v>
      </c>
      <c r="AE152" s="377">
        <f>IF(V152=0,0,14)</f>
        <v>0</v>
      </c>
      <c r="AF152" s="966">
        <f>SUM(V152:V164)/($B$136-B151)</f>
        <v>0</v>
      </c>
      <c r="AG152" s="971"/>
      <c r="AH152" s="353">
        <f>SUM(D140:D152)+$C$139</f>
        <v>14</v>
      </c>
      <c r="AI152" s="944" t="b">
        <f t="shared" si="22"/>
        <v>0</v>
      </c>
      <c r="AJ152" s="575">
        <f t="shared" si="23"/>
        <v>61.499008599999996</v>
      </c>
      <c r="AK152" s="944">
        <f t="shared" si="12"/>
        <v>0.87880885615971105</v>
      </c>
      <c r="AL152" s="944">
        <f t="shared" si="24"/>
        <v>255.4195263780579</v>
      </c>
      <c r="AM152" s="968">
        <f t="shared" si="25"/>
        <v>71.181912400000002</v>
      </c>
      <c r="AN152" s="944">
        <f t="shared" si="26"/>
        <v>0.94654747747751544</v>
      </c>
      <c r="AO152" s="969">
        <f t="shared" si="27"/>
        <v>237.65267761887836</v>
      </c>
      <c r="AP152" s="251">
        <f t="shared" si="13"/>
        <v>-131.81701476127117</v>
      </c>
      <c r="AQ152" s="347">
        <f t="shared" si="28"/>
        <v>-351.6</v>
      </c>
      <c r="AR152" s="347">
        <f t="shared" si="14"/>
        <v>-203.3</v>
      </c>
      <c r="AS152" s="348">
        <f t="shared" si="29"/>
        <v>493.07220399693625</v>
      </c>
      <c r="AT152" s="348">
        <f t="shared" si="36"/>
        <v>-237.65267761887836</v>
      </c>
      <c r="AU152" s="348">
        <f t="shared" si="30"/>
        <v>105.83566285760719</v>
      </c>
      <c r="AV152" s="350"/>
      <c r="AW152" s="350">
        <f t="shared" si="31"/>
        <v>-159.66259743596248</v>
      </c>
      <c r="AX152" s="351">
        <f t="shared" si="32"/>
        <v>-43.637402564037529</v>
      </c>
      <c r="AY152" s="351">
        <f t="shared" si="15"/>
        <v>-72.65320861795783</v>
      </c>
      <c r="AZ152" s="1043">
        <f t="shared" si="16"/>
        <v>-229.16121062258648</v>
      </c>
      <c r="BA152" s="241">
        <f t="shared" si="33"/>
        <v>72.65320861795783</v>
      </c>
      <c r="BB152" s="242">
        <f t="shared" si="33"/>
        <v>229.16121062258648</v>
      </c>
      <c r="BC152">
        <f t="shared" si="34"/>
        <v>0.3</v>
      </c>
      <c r="BM152" s="197"/>
      <c r="BN152" s="197"/>
      <c r="BO152" s="197"/>
      <c r="DE152" s="109"/>
    </row>
    <row r="153" spans="1:129" ht="21" customHeight="1" thickBot="1" x14ac:dyDescent="0.35">
      <c r="B153" s="244">
        <v>15</v>
      </c>
      <c r="C153" s="245"/>
      <c r="D153" s="16">
        <v>1</v>
      </c>
      <c r="E153" s="234" t="s">
        <v>215</v>
      </c>
      <c r="F153" s="235"/>
      <c r="G153" s="235">
        <f t="shared" si="37"/>
        <v>1.3</v>
      </c>
      <c r="H153" s="888">
        <v>251.073172</v>
      </c>
      <c r="I153" s="889">
        <v>65.636175100000003</v>
      </c>
      <c r="J153" s="374">
        <f t="shared" si="17"/>
        <v>64.636175100000003</v>
      </c>
      <c r="K153" s="374">
        <f t="shared" si="18"/>
        <v>32.318087550000001</v>
      </c>
      <c r="L153" s="374">
        <f t="shared" si="5"/>
        <v>0.53461916118589337</v>
      </c>
      <c r="M153" s="374">
        <f t="shared" si="6"/>
        <v>134.22852861092153</v>
      </c>
      <c r="N153" s="374">
        <f t="shared" si="7"/>
        <v>268.45705722184306</v>
      </c>
      <c r="O153" s="374">
        <f>+C139+D140+D141+D142+D143+D144+D145+D146+D147+D148+D149+D150+D151+D152+(D153/2)</f>
        <v>14.5</v>
      </c>
      <c r="P153" s="374">
        <f t="shared" si="8"/>
        <v>0.25038000405444116</v>
      </c>
      <c r="Q153" s="374">
        <f t="shared" si="9"/>
        <v>67.216279075648401</v>
      </c>
      <c r="R153" s="374">
        <f t="shared" si="19"/>
        <v>667.9015891129302</v>
      </c>
      <c r="S153" s="374">
        <f t="shared" si="35"/>
        <v>735.11786818857854</v>
      </c>
      <c r="T153" s="375">
        <f t="shared" si="10"/>
        <v>735.11786818857854</v>
      </c>
      <c r="V153" s="929">
        <f t="shared" si="11"/>
        <v>0</v>
      </c>
      <c r="W153" s="340"/>
      <c r="X153" s="340"/>
      <c r="Y153" s="340"/>
      <c r="Z153" s="340"/>
      <c r="AA153" s="340"/>
      <c r="AB153" s="257" t="str">
        <f t="shared" si="20"/>
        <v>use the locking pin</v>
      </c>
      <c r="AC153" s="377" t="b">
        <f>IF(AD153=15,AF153)</f>
        <v>0</v>
      </c>
      <c r="AD153" s="377">
        <f t="shared" si="21"/>
        <v>1</v>
      </c>
      <c r="AE153" s="377">
        <f>IF(V153=0,0,15)</f>
        <v>0</v>
      </c>
      <c r="AF153" s="966">
        <f>SUM(V153:V164)/($B$136-B152)</f>
        <v>0</v>
      </c>
      <c r="AG153" s="971"/>
      <c r="AH153" s="353">
        <f>SUM(D140:D153)+$C$139</f>
        <v>15</v>
      </c>
      <c r="AI153" s="944" t="b">
        <f t="shared" si="22"/>
        <v>0</v>
      </c>
      <c r="AJ153" s="575">
        <f t="shared" si="23"/>
        <v>60.499008599999996</v>
      </c>
      <c r="AK153" s="944">
        <f t="shared" si="12"/>
        <v>0.87034717530911587</v>
      </c>
      <c r="AL153" s="944">
        <f t="shared" si="24"/>
        <v>252.96019918754024</v>
      </c>
      <c r="AM153" s="968">
        <f t="shared" si="25"/>
        <v>72.181912400000002</v>
      </c>
      <c r="AN153" s="944">
        <f t="shared" si="26"/>
        <v>0.95203284090704099</v>
      </c>
      <c r="AO153" s="969">
        <f t="shared" si="27"/>
        <v>239.02990521470213</v>
      </c>
      <c r="AP153" s="251">
        <f t="shared" si="13"/>
        <v>-115.21237790613253</v>
      </c>
      <c r="AQ153" s="347">
        <f t="shared" si="28"/>
        <v>-380.90000000000003</v>
      </c>
      <c r="AR153" s="347">
        <f t="shared" si="14"/>
        <v>-232.60000000000002</v>
      </c>
      <c r="AS153" s="348">
        <f t="shared" si="29"/>
        <v>491.99010440224237</v>
      </c>
      <c r="AT153" s="348">
        <f t="shared" si="36"/>
        <v>-239.02990521470213</v>
      </c>
      <c r="AU153" s="348">
        <f t="shared" si="30"/>
        <v>123.81752730856959</v>
      </c>
      <c r="AV153" s="350"/>
      <c r="AW153" s="350">
        <f t="shared" si="31"/>
        <v>-174.06232496492055</v>
      </c>
      <c r="AX153" s="351">
        <f t="shared" si="32"/>
        <v>-58.537675035079481</v>
      </c>
      <c r="AY153" s="351">
        <f t="shared" si="15"/>
        <v>-66.642795920011949</v>
      </c>
      <c r="AZ153" s="1043">
        <f t="shared" si="16"/>
        <v>-170.83015329883474</v>
      </c>
      <c r="BA153" s="241">
        <f t="shared" si="33"/>
        <v>66.642795920011949</v>
      </c>
      <c r="BB153" s="242">
        <f t="shared" si="33"/>
        <v>170.83015329883474</v>
      </c>
      <c r="BC153">
        <f t="shared" si="34"/>
        <v>0.3</v>
      </c>
      <c r="BM153" s="197"/>
      <c r="BN153" s="197"/>
      <c r="BO153" s="197"/>
      <c r="DE153" s="109"/>
    </row>
    <row r="154" spans="1:129" ht="21" customHeight="1" thickBot="1" x14ac:dyDescent="0.35">
      <c r="B154" s="244">
        <v>16</v>
      </c>
      <c r="C154" s="245"/>
      <c r="D154" s="16">
        <v>1</v>
      </c>
      <c r="E154" s="234" t="s">
        <v>215</v>
      </c>
      <c r="F154" s="235"/>
      <c r="G154" s="235">
        <f t="shared" si="37"/>
        <v>1.3</v>
      </c>
      <c r="H154" s="888">
        <v>251.073172</v>
      </c>
      <c r="I154" s="889">
        <v>65.636175100000003</v>
      </c>
      <c r="J154" s="374">
        <f t="shared" si="17"/>
        <v>64.636175100000003</v>
      </c>
      <c r="K154" s="374">
        <f t="shared" si="18"/>
        <v>32.318087550000001</v>
      </c>
      <c r="L154" s="374">
        <f t="shared" si="5"/>
        <v>0.53461916118589337</v>
      </c>
      <c r="M154" s="374">
        <f t="shared" si="6"/>
        <v>134.22852861092153</v>
      </c>
      <c r="N154" s="374">
        <f t="shared" si="7"/>
        <v>268.45705722184306</v>
      </c>
      <c r="O154" s="374">
        <f>+C139+D140+D141+D142+D143+D144+D145+D146+D147+D148+D149+D150+D151+D152+D153+(D154/2)</f>
        <v>15.5</v>
      </c>
      <c r="P154" s="374">
        <f t="shared" si="8"/>
        <v>0.26723837607825657</v>
      </c>
      <c r="Q154" s="374">
        <f t="shared" si="9"/>
        <v>71.742028018712944</v>
      </c>
      <c r="R154" s="374">
        <f t="shared" si="19"/>
        <v>735.11786818857854</v>
      </c>
      <c r="S154" s="374">
        <f t="shared" si="35"/>
        <v>806.85989620729151</v>
      </c>
      <c r="T154" s="375">
        <f t="shared" si="10"/>
        <v>806.85989620729151</v>
      </c>
      <c r="V154" s="929">
        <f t="shared" si="11"/>
        <v>0</v>
      </c>
      <c r="W154" s="340"/>
      <c r="X154" s="340"/>
      <c r="Y154" s="340"/>
      <c r="Z154" s="340"/>
      <c r="AA154" s="340"/>
      <c r="AB154" s="257" t="str">
        <f t="shared" si="20"/>
        <v>use the locking pin</v>
      </c>
      <c r="AC154" s="377" t="b">
        <f>IF(AD154=16,AF154)</f>
        <v>0</v>
      </c>
      <c r="AD154" s="377">
        <f t="shared" si="21"/>
        <v>1</v>
      </c>
      <c r="AE154" s="377">
        <f>IF(V154=0,0,16)</f>
        <v>0</v>
      </c>
      <c r="AF154" s="966">
        <f>SUM(V154:V164)/($B$136-B153)</f>
        <v>0</v>
      </c>
      <c r="AG154" s="971"/>
      <c r="AH154" s="353">
        <f>SUM(D140:D154)+$C$139</f>
        <v>16</v>
      </c>
      <c r="AI154" s="944" t="b">
        <f t="shared" si="22"/>
        <v>0</v>
      </c>
      <c r="AJ154" s="575">
        <f t="shared" si="23"/>
        <v>59.499008599999996</v>
      </c>
      <c r="AK154" s="944">
        <f t="shared" si="12"/>
        <v>0.86162037827767901</v>
      </c>
      <c r="AL154" s="944">
        <f t="shared" si="24"/>
        <v>250.42381786986954</v>
      </c>
      <c r="AM154" s="968">
        <f t="shared" si="25"/>
        <v>73.181912400000002</v>
      </c>
      <c r="AN154" s="944">
        <f t="shared" si="26"/>
        <v>0.95722820591067703</v>
      </c>
      <c r="AO154" s="969">
        <f t="shared" si="27"/>
        <v>240.33432198586283</v>
      </c>
      <c r="AP154" s="251">
        <f t="shared" si="13"/>
        <v>-102.32302062224677</v>
      </c>
      <c r="AQ154" s="347">
        <f t="shared" si="28"/>
        <v>-410.2</v>
      </c>
      <c r="AR154" s="347">
        <f t="shared" si="14"/>
        <v>-261.89999999999998</v>
      </c>
      <c r="AS154" s="348">
        <f t="shared" si="29"/>
        <v>490.75813985573234</v>
      </c>
      <c r="AT154" s="348">
        <f t="shared" si="36"/>
        <v>-240.33432198586283</v>
      </c>
      <c r="AU154" s="348">
        <f t="shared" si="30"/>
        <v>138.01130136361604</v>
      </c>
      <c r="AV154" s="350"/>
      <c r="AW154" s="350">
        <f t="shared" si="31"/>
        <v>-188.24832335586609</v>
      </c>
      <c r="AX154" s="351">
        <f t="shared" si="32"/>
        <v>-73.6516766441339</v>
      </c>
      <c r="AY154" s="351">
        <f t="shared" si="15"/>
        <v>-61.620734746578698</v>
      </c>
      <c r="AZ154" s="1043">
        <f t="shared" si="16"/>
        <v>-135.7742342827774</v>
      </c>
      <c r="BA154" s="241">
        <f t="shared" si="33"/>
        <v>61.620734746578698</v>
      </c>
      <c r="BB154" s="242">
        <f t="shared" si="33"/>
        <v>135.7742342827774</v>
      </c>
      <c r="BC154">
        <f t="shared" si="34"/>
        <v>0.3</v>
      </c>
      <c r="BM154" s="197"/>
      <c r="BN154" s="197"/>
      <c r="BO154" s="197"/>
      <c r="DE154" s="109"/>
    </row>
    <row r="155" spans="1:129" ht="21" customHeight="1" thickBot="1" x14ac:dyDescent="0.35">
      <c r="B155" s="244">
        <v>17</v>
      </c>
      <c r="C155" s="245"/>
      <c r="D155" s="16">
        <v>1</v>
      </c>
      <c r="E155" s="234" t="s">
        <v>215</v>
      </c>
      <c r="F155" s="235"/>
      <c r="G155" s="235">
        <f t="shared" si="37"/>
        <v>1.3</v>
      </c>
      <c r="H155" s="888">
        <v>251.073172</v>
      </c>
      <c r="I155" s="889">
        <v>65.636175100000003</v>
      </c>
      <c r="J155" s="374">
        <f t="shared" si="17"/>
        <v>64.636175100000003</v>
      </c>
      <c r="K155" s="374">
        <f t="shared" si="18"/>
        <v>32.318087550000001</v>
      </c>
      <c r="L155" s="374">
        <f t="shared" si="5"/>
        <v>0.53461916118589337</v>
      </c>
      <c r="M155" s="374">
        <f t="shared" si="6"/>
        <v>134.22852861092153</v>
      </c>
      <c r="N155" s="374">
        <f t="shared" si="7"/>
        <v>268.45705722184306</v>
      </c>
      <c r="O155" s="374">
        <f>+C139+D140+D141+D142+D143+D144+D145+D146+D147+D148+D149+D150+D151+D152+D153+D154+(D155/2)</f>
        <v>16.5</v>
      </c>
      <c r="P155" s="374">
        <f t="shared" si="8"/>
        <v>0.28401534470392237</v>
      </c>
      <c r="Q155" s="374">
        <f t="shared" si="9"/>
        <v>76.245923645062362</v>
      </c>
      <c r="R155" s="374">
        <f t="shared" si="19"/>
        <v>806.85989620729151</v>
      </c>
      <c r="S155" s="374">
        <f t="shared" si="35"/>
        <v>883.10581985235387</v>
      </c>
      <c r="T155" s="375">
        <f t="shared" si="10"/>
        <v>883.10581985235387</v>
      </c>
      <c r="V155" s="929">
        <f t="shared" si="11"/>
        <v>0</v>
      </c>
      <c r="W155" s="340"/>
      <c r="X155" s="340"/>
      <c r="Y155" s="340"/>
      <c r="Z155" s="340"/>
      <c r="AA155" s="340"/>
      <c r="AB155" s="257" t="str">
        <f t="shared" si="20"/>
        <v>use the locking pin</v>
      </c>
      <c r="AC155" s="377" t="b">
        <f>IF(AD155=17,AF155)</f>
        <v>0</v>
      </c>
      <c r="AD155" s="377">
        <f t="shared" si="21"/>
        <v>1</v>
      </c>
      <c r="AE155" s="377">
        <f>IF(V155=0,0,17)</f>
        <v>0</v>
      </c>
      <c r="AF155" s="966">
        <f>SUM(V155:V164)/($B$136-B154)</f>
        <v>0</v>
      </c>
      <c r="AG155" s="971"/>
      <c r="AH155" s="353">
        <f>SUM(D140:D155)+$C$139</f>
        <v>17</v>
      </c>
      <c r="AI155" s="944" t="b">
        <f t="shared" si="22"/>
        <v>0</v>
      </c>
      <c r="AJ155" s="575">
        <f t="shared" si="23"/>
        <v>58.499008599999996</v>
      </c>
      <c r="AK155" s="944">
        <f t="shared" si="12"/>
        <v>0.85263112333231494</v>
      </c>
      <c r="AL155" s="944">
        <f t="shared" si="24"/>
        <v>247.81115503136576</v>
      </c>
      <c r="AM155" s="968">
        <f t="shared" si="25"/>
        <v>74.181912400000002</v>
      </c>
      <c r="AN155" s="944">
        <f t="shared" si="26"/>
        <v>0.96213198992991489</v>
      </c>
      <c r="AO155" s="969">
        <f t="shared" si="27"/>
        <v>241.56553059437579</v>
      </c>
      <c r="AP155" s="251">
        <f t="shared" si="13"/>
        <v>-92.027469440131966</v>
      </c>
      <c r="AQ155" s="347">
        <f t="shared" si="28"/>
        <v>-439.5</v>
      </c>
      <c r="AR155" s="347">
        <f t="shared" si="14"/>
        <v>-291.2</v>
      </c>
      <c r="AS155" s="348">
        <f t="shared" si="29"/>
        <v>489.37668562574152</v>
      </c>
      <c r="AT155" s="348">
        <f t="shared" si="36"/>
        <v>-241.56553059437579</v>
      </c>
      <c r="AU155" s="348">
        <f t="shared" si="30"/>
        <v>149.53806115424382</v>
      </c>
      <c r="AV155" s="350"/>
      <c r="AW155" s="350">
        <f t="shared" si="31"/>
        <v>-202.21847577304104</v>
      </c>
      <c r="AX155" s="351">
        <f t="shared" si="32"/>
        <v>-88.981524226958967</v>
      </c>
      <c r="AY155" s="351">
        <f t="shared" si="15"/>
        <v>-57.363700105321762</v>
      </c>
      <c r="AZ155" s="1043">
        <f t="shared" si="16"/>
        <v>-112.38288045610118</v>
      </c>
      <c r="BA155" s="241">
        <f t="shared" si="33"/>
        <v>57.363700105321762</v>
      </c>
      <c r="BB155" s="242">
        <f t="shared" si="33"/>
        <v>112.38288045610118</v>
      </c>
      <c r="BC155">
        <f t="shared" si="34"/>
        <v>0.3</v>
      </c>
      <c r="BD155" s="119"/>
      <c r="BM155" s="197"/>
      <c r="BN155" s="197"/>
      <c r="BO155" s="197"/>
      <c r="DF155" s="109"/>
      <c r="DG155" s="109"/>
      <c r="DH155" s="109"/>
      <c r="DI155" s="109"/>
      <c r="DJ155" s="109"/>
      <c r="DK155" s="109"/>
      <c r="DL155" s="186"/>
      <c r="DM155" s="186"/>
      <c r="DN155" s="186"/>
      <c r="DO155" s="186"/>
      <c r="DP155" s="186"/>
      <c r="DQ155" s="186"/>
      <c r="DR155" s="186"/>
      <c r="DS155" s="186"/>
      <c r="DT155" s="186"/>
      <c r="DU155" s="186"/>
      <c r="DV155" s="186"/>
      <c r="DW155" s="186"/>
      <c r="DX155" s="186"/>
      <c r="DY155" s="186"/>
    </row>
    <row r="156" spans="1:129" ht="21" customHeight="1" thickBot="1" x14ac:dyDescent="0.35">
      <c r="B156" s="244">
        <v>18</v>
      </c>
      <c r="C156" s="245"/>
      <c r="D156" s="16">
        <v>1</v>
      </c>
      <c r="E156" s="234" t="s">
        <v>215</v>
      </c>
      <c r="F156" s="235"/>
      <c r="G156" s="235">
        <f t="shared" si="37"/>
        <v>1.3</v>
      </c>
      <c r="H156" s="888">
        <v>251.073172</v>
      </c>
      <c r="I156" s="889">
        <v>65.636175100000003</v>
      </c>
      <c r="J156" s="374">
        <f t="shared" si="17"/>
        <v>64.636175100000003</v>
      </c>
      <c r="K156" s="374">
        <f t="shared" si="18"/>
        <v>32.318087550000001</v>
      </c>
      <c r="L156" s="374">
        <f t="shared" si="5"/>
        <v>0.53461916118589337</v>
      </c>
      <c r="M156" s="374">
        <f t="shared" si="6"/>
        <v>134.22852861092153</v>
      </c>
      <c r="N156" s="374">
        <f t="shared" si="7"/>
        <v>268.45705722184306</v>
      </c>
      <c r="O156" s="374">
        <f>+C139+D140+D141+D142+D143+D144+D145+D146+D147+D148+D149+D150+D151+D152+D153+D154+D155+(D156/2)</f>
        <v>17.5</v>
      </c>
      <c r="P156" s="374">
        <f t="shared" si="8"/>
        <v>0.30070579950427284</v>
      </c>
      <c r="Q156" s="374">
        <f t="shared" si="9"/>
        <v>80.726594024458635</v>
      </c>
      <c r="R156" s="374">
        <f t="shared" si="19"/>
        <v>883.10581985235387</v>
      </c>
      <c r="S156" s="374">
        <f t="shared" si="35"/>
        <v>963.83241387681255</v>
      </c>
      <c r="T156" s="375">
        <f t="shared" si="10"/>
        <v>963.83241387681255</v>
      </c>
      <c r="V156" s="929">
        <f t="shared" si="11"/>
        <v>0</v>
      </c>
      <c r="W156" s="340"/>
      <c r="X156" s="340"/>
      <c r="Y156" s="340"/>
      <c r="Z156" s="340"/>
      <c r="AA156" s="340"/>
      <c r="AB156" s="257" t="str">
        <f t="shared" si="20"/>
        <v>use the locking pin</v>
      </c>
      <c r="AC156" s="377" t="b">
        <f>IF(AD156=18,AF156)</f>
        <v>0</v>
      </c>
      <c r="AD156" s="377">
        <f t="shared" si="21"/>
        <v>1</v>
      </c>
      <c r="AE156" s="377">
        <f>IF(V156=0,0,18)</f>
        <v>0</v>
      </c>
      <c r="AF156" s="966">
        <f>SUM(V156:V164)/($B$136-B155)</f>
        <v>0</v>
      </c>
      <c r="AG156" s="971"/>
      <c r="AH156" s="353">
        <f>SUM(D140:D156)+$C$139</f>
        <v>18</v>
      </c>
      <c r="AI156" s="944" t="b">
        <f t="shared" si="22"/>
        <v>0</v>
      </c>
      <c r="AJ156" s="575">
        <f t="shared" si="23"/>
        <v>57.499008599999996</v>
      </c>
      <c r="AK156" s="944">
        <f t="shared" si="12"/>
        <v>0.84338214868716044</v>
      </c>
      <c r="AL156" s="944">
        <f t="shared" si="24"/>
        <v>245.12300651443877</v>
      </c>
      <c r="AM156" s="968">
        <f t="shared" si="25"/>
        <v>75.181912400000002</v>
      </c>
      <c r="AN156" s="944">
        <f t="shared" si="26"/>
        <v>0.96674269922463818</v>
      </c>
      <c r="AO156" s="969">
        <f t="shared" si="27"/>
        <v>242.72315600217186</v>
      </c>
      <c r="AP156" s="251">
        <f t="shared" si="13"/>
        <v>-83.614349769006012</v>
      </c>
      <c r="AQ156" s="347">
        <f t="shared" si="28"/>
        <v>-468.8</v>
      </c>
      <c r="AR156" s="347">
        <f t="shared" si="14"/>
        <v>-320.5</v>
      </c>
      <c r="AS156" s="348">
        <f t="shared" si="29"/>
        <v>487.84616251661066</v>
      </c>
      <c r="AT156" s="348">
        <f t="shared" si="36"/>
        <v>-242.72315600217186</v>
      </c>
      <c r="AU156" s="348">
        <f t="shared" si="30"/>
        <v>159.10880623316586</v>
      </c>
      <c r="AV156" s="350"/>
      <c r="AW156" s="350">
        <f t="shared" si="31"/>
        <v>-215.97038325633369</v>
      </c>
      <c r="AX156" s="351">
        <f t="shared" si="32"/>
        <v>-104.5296167436663</v>
      </c>
      <c r="AY156" s="351">
        <f t="shared" si="15"/>
        <v>-53.71106827287538</v>
      </c>
      <c r="AZ156" s="1043">
        <f t="shared" si="16"/>
        <v>-95.666666649343895</v>
      </c>
      <c r="BA156" s="241">
        <f t="shared" si="33"/>
        <v>53.71106827287538</v>
      </c>
      <c r="BB156" s="242">
        <f t="shared" si="33"/>
        <v>95.666666649343895</v>
      </c>
      <c r="BC156">
        <f t="shared" si="34"/>
        <v>0.3</v>
      </c>
      <c r="BD156" s="361"/>
      <c r="BM156" s="197"/>
      <c r="BN156" s="197"/>
      <c r="BO156" s="197"/>
      <c r="DF156" s="109"/>
      <c r="DG156" s="109"/>
      <c r="DH156" s="109"/>
      <c r="DI156" s="109"/>
      <c r="DJ156" s="109"/>
      <c r="DK156" s="109"/>
      <c r="DL156" s="186"/>
      <c r="DM156" s="186"/>
      <c r="DN156" s="186"/>
      <c r="DO156" s="186"/>
      <c r="DP156" s="186"/>
      <c r="DQ156" s="186"/>
      <c r="DR156" s="186"/>
      <c r="DS156" s="186"/>
      <c r="DT156" s="186"/>
      <c r="DU156" s="186"/>
      <c r="DV156" s="186"/>
      <c r="DW156" s="186"/>
      <c r="DX156" s="186"/>
      <c r="DY156" s="186"/>
    </row>
    <row r="157" spans="1:129" ht="21" customHeight="1" thickBot="1" x14ac:dyDescent="0.35">
      <c r="B157" s="244">
        <v>19</v>
      </c>
      <c r="C157" s="245"/>
      <c r="D157" s="16">
        <v>1</v>
      </c>
      <c r="E157" s="234" t="s">
        <v>215</v>
      </c>
      <c r="F157" s="235"/>
      <c r="G157" s="235">
        <f t="shared" si="37"/>
        <v>1.3</v>
      </c>
      <c r="H157" s="888">
        <v>251.073172</v>
      </c>
      <c r="I157" s="889">
        <v>65.636175100000003</v>
      </c>
      <c r="J157" s="374">
        <f t="shared" si="17"/>
        <v>64.636175100000003</v>
      </c>
      <c r="K157" s="374">
        <f t="shared" si="18"/>
        <v>32.318087550000001</v>
      </c>
      <c r="L157" s="374">
        <f t="shared" si="5"/>
        <v>0.53461916118589337</v>
      </c>
      <c r="M157" s="374">
        <f t="shared" si="6"/>
        <v>134.22852861092153</v>
      </c>
      <c r="N157" s="374">
        <f t="shared" si="7"/>
        <v>268.45705722184306</v>
      </c>
      <c r="O157" s="374">
        <f>+C139+D140+D141+D142+D143+D144+D145+D146+D147+D148+D149+D150+D151+D152+D153+D154+D155+D156+(D157/2)</f>
        <v>18.5</v>
      </c>
      <c r="P157" s="374">
        <f t="shared" si="8"/>
        <v>0.31730465640509181</v>
      </c>
      <c r="Q157" s="374">
        <f t="shared" si="9"/>
        <v>85.182674301298988</v>
      </c>
      <c r="R157" s="374">
        <f t="shared" si="19"/>
        <v>963.83241387681255</v>
      </c>
      <c r="S157" s="374">
        <f t="shared" si="35"/>
        <v>1049.0150881781115</v>
      </c>
      <c r="T157" s="375">
        <f t="shared" si="10"/>
        <v>1049.0150881781115</v>
      </c>
      <c r="V157" s="929">
        <f t="shared" si="11"/>
        <v>0</v>
      </c>
      <c r="W157" s="340"/>
      <c r="X157" s="340"/>
      <c r="Y157" s="340"/>
      <c r="Z157" s="340"/>
      <c r="AA157" s="340"/>
      <c r="AB157" s="235" t="str">
        <f t="shared" si="20"/>
        <v>use the locking pin</v>
      </c>
      <c r="AC157" s="377" t="b">
        <f>IF(AD157=19,AF157)</f>
        <v>0</v>
      </c>
      <c r="AD157" s="377">
        <f t="shared" si="21"/>
        <v>1</v>
      </c>
      <c r="AE157" s="377">
        <f>IF(V157=0,0,19)</f>
        <v>0</v>
      </c>
      <c r="AF157" s="966">
        <f>SUM(V157:V164)/($B$136-B156)</f>
        <v>0</v>
      </c>
      <c r="AG157" s="971"/>
      <c r="AH157" s="353">
        <f>SUM(D140:D157)+$C$139</f>
        <v>19</v>
      </c>
      <c r="AI157" s="944" t="b">
        <f t="shared" si="22"/>
        <v>0</v>
      </c>
      <c r="AJ157" s="575">
        <f t="shared" si="23"/>
        <v>56.499008599999996</v>
      </c>
      <c r="AK157" s="944">
        <f t="shared" si="12"/>
        <v>0.83387627166948974</v>
      </c>
      <c r="AL157" s="944">
        <f t="shared" si="24"/>
        <v>242.36019115516766</v>
      </c>
      <c r="AM157" s="968">
        <f t="shared" si="25"/>
        <v>76.181912400000002</v>
      </c>
      <c r="AN157" s="944">
        <f t="shared" si="26"/>
        <v>0.97105892932813076</v>
      </c>
      <c r="AO157" s="969">
        <f t="shared" si="27"/>
        <v>243.80684558533761</v>
      </c>
      <c r="AP157" s="251">
        <f t="shared" si="13"/>
        <v>-76.610632078234502</v>
      </c>
      <c r="AQ157" s="347">
        <f t="shared" si="28"/>
        <v>-498.1</v>
      </c>
      <c r="AR157" s="347">
        <f t="shared" si="14"/>
        <v>-349.8</v>
      </c>
      <c r="AS157" s="348">
        <f t="shared" si="29"/>
        <v>486.1670367405053</v>
      </c>
      <c r="AT157" s="348">
        <f t="shared" si="36"/>
        <v>-243.80684558533761</v>
      </c>
      <c r="AU157" s="348">
        <f t="shared" si="30"/>
        <v>167.1962135071031</v>
      </c>
      <c r="AV157" s="350"/>
      <c r="AW157" s="350">
        <f t="shared" si="31"/>
        <v>-229.50135557339004</v>
      </c>
      <c r="AX157" s="351">
        <f t="shared" si="32"/>
        <v>-120.29864442660995</v>
      </c>
      <c r="AY157" s="351">
        <f t="shared" si="15"/>
        <v>-50.544363762115324</v>
      </c>
      <c r="AZ157" s="1043">
        <f t="shared" si="16"/>
        <v>-83.126456226201739</v>
      </c>
      <c r="BA157" s="241">
        <f t="shared" si="33"/>
        <v>50.544363762115324</v>
      </c>
      <c r="BB157" s="242">
        <f t="shared" si="33"/>
        <v>83.126456226201739</v>
      </c>
      <c r="BC157">
        <f t="shared" si="34"/>
        <v>0.3</v>
      </c>
      <c r="BD157" s="127"/>
      <c r="BM157" s="197"/>
      <c r="BN157" s="197"/>
      <c r="BO157" s="197"/>
      <c r="DF157" s="109"/>
      <c r="DG157" s="109"/>
      <c r="DH157" s="109"/>
      <c r="DI157" s="109"/>
      <c r="DJ157" s="109"/>
      <c r="DK157" s="109"/>
      <c r="DL157" s="186"/>
      <c r="DM157" s="186"/>
      <c r="DN157" s="186"/>
      <c r="DO157" s="186"/>
      <c r="DP157" s="186"/>
      <c r="DQ157" s="186"/>
      <c r="DR157" s="186"/>
      <c r="DS157" s="186"/>
      <c r="DT157" s="186"/>
      <c r="DU157" s="186"/>
      <c r="DV157" s="186"/>
      <c r="DW157" s="186"/>
      <c r="DX157" s="186"/>
      <c r="DY157" s="186"/>
    </row>
    <row r="158" spans="1:129" ht="21" customHeight="1" thickBot="1" x14ac:dyDescent="0.35">
      <c r="B158" s="244">
        <v>20</v>
      </c>
      <c r="C158" s="245"/>
      <c r="D158" s="16">
        <v>1</v>
      </c>
      <c r="E158" s="234" t="s">
        <v>215</v>
      </c>
      <c r="F158" s="235"/>
      <c r="G158" s="235">
        <f t="shared" si="37"/>
        <v>1.3</v>
      </c>
      <c r="H158" s="888">
        <v>251.073172</v>
      </c>
      <c r="I158" s="889">
        <v>65.636175100000003</v>
      </c>
      <c r="J158" s="374">
        <f t="shared" si="17"/>
        <v>64.636175100000003</v>
      </c>
      <c r="K158" s="374">
        <f t="shared" si="18"/>
        <v>32.318087550000001</v>
      </c>
      <c r="L158" s="374">
        <f t="shared" si="5"/>
        <v>0.53461916118589337</v>
      </c>
      <c r="M158" s="374">
        <f t="shared" si="6"/>
        <v>134.22852861092153</v>
      </c>
      <c r="N158" s="374">
        <f t="shared" si="7"/>
        <v>268.45705722184306</v>
      </c>
      <c r="O158" s="48">
        <f>+C139+D140+D141+D142+D143+D144+D145+D146+D147+D148+D149+D150+D151+D152+D153+D154+D155+D156+D157+(D158/2)</f>
        <v>19.5</v>
      </c>
      <c r="P158" s="374">
        <f t="shared" si="8"/>
        <v>0.33380685923377057</v>
      </c>
      <c r="Q158" s="374">
        <f t="shared" si="9"/>
        <v>89.612807110364059</v>
      </c>
      <c r="R158" s="374">
        <f t="shared" si="19"/>
        <v>1049.0150881781115</v>
      </c>
      <c r="S158" s="374">
        <f t="shared" si="35"/>
        <v>1138.6278952884754</v>
      </c>
      <c r="T158" s="375">
        <f t="shared" si="10"/>
        <v>1138.6278952884754</v>
      </c>
      <c r="V158" s="929">
        <f t="shared" si="11"/>
        <v>0</v>
      </c>
      <c r="W158" s="340"/>
      <c r="X158" s="340"/>
      <c r="Y158" s="340"/>
      <c r="Z158" s="340"/>
      <c r="AA158" s="340"/>
      <c r="AB158" s="248" t="str">
        <f t="shared" si="20"/>
        <v>use the locking pin</v>
      </c>
      <c r="AC158" s="377" t="b">
        <f>IF(AD158=20,AF158)</f>
        <v>0</v>
      </c>
      <c r="AD158" s="377">
        <f t="shared" si="21"/>
        <v>1</v>
      </c>
      <c r="AE158" s="377">
        <f>IF(V158=0,0,20)</f>
        <v>0</v>
      </c>
      <c r="AF158" s="966">
        <f>SUM(V158:V164)/($B$136-B157)</f>
        <v>0</v>
      </c>
      <c r="AG158" s="971"/>
      <c r="AH158" s="353">
        <f>SUM(D140:D158)+$C$139</f>
        <v>20</v>
      </c>
      <c r="AI158" s="944" t="b">
        <f t="shared" si="22"/>
        <v>0</v>
      </c>
      <c r="AJ158" s="575">
        <f t="shared" si="23"/>
        <v>55.499008599999996</v>
      </c>
      <c r="AK158" s="944">
        <f t="shared" si="12"/>
        <v>0.82411638786152763</v>
      </c>
      <c r="AL158" s="944">
        <f t="shared" si="24"/>
        <v>239.52355053387478</v>
      </c>
      <c r="AM158" s="968">
        <f t="shared" si="25"/>
        <v>77.181912400000002</v>
      </c>
      <c r="AN158" s="944">
        <f t="shared" si="26"/>
        <v>0.97507936547489105</v>
      </c>
      <c r="AO158" s="969">
        <f t="shared" si="27"/>
        <v>244.81626924152818</v>
      </c>
      <c r="AP158" s="251">
        <f t="shared" si="13"/>
        <v>-70.689525457574334</v>
      </c>
      <c r="AQ158" s="347">
        <f t="shared" si="28"/>
        <v>-527.4</v>
      </c>
      <c r="AR158" s="347">
        <f t="shared" si="14"/>
        <v>-379.09999999999997</v>
      </c>
      <c r="AS158" s="348">
        <f t="shared" si="29"/>
        <v>484.33981977540293</v>
      </c>
      <c r="AT158" s="348">
        <f t="shared" si="36"/>
        <v>-244.81626924152818</v>
      </c>
      <c r="AU158" s="348">
        <f t="shared" si="30"/>
        <v>174.12674378395383</v>
      </c>
      <c r="AV158" s="350"/>
      <c r="AW158" s="350">
        <f t="shared" si="31"/>
        <v>-242.80840085147739</v>
      </c>
      <c r="AX158" s="351">
        <f t="shared" si="32"/>
        <v>-136.29159914852258</v>
      </c>
      <c r="AY158" s="351">
        <f t="shared" si="15"/>
        <v>-47.774294296742902</v>
      </c>
      <c r="AZ158" s="1043">
        <f t="shared" si="16"/>
        <v>-73.372093822911182</v>
      </c>
      <c r="BA158" s="241">
        <f t="shared" si="33"/>
        <v>47.774294296742902</v>
      </c>
      <c r="BB158" s="242">
        <f t="shared" si="33"/>
        <v>73.372093822911182</v>
      </c>
      <c r="BC158">
        <f t="shared" si="34"/>
        <v>0.3</v>
      </c>
      <c r="BD158" s="127"/>
      <c r="BM158" s="197"/>
      <c r="BN158" s="197"/>
      <c r="BO158" s="197"/>
      <c r="DF158" s="109"/>
      <c r="DG158" s="109"/>
      <c r="DH158" s="109"/>
      <c r="DI158" s="109"/>
      <c r="DJ158" s="109"/>
      <c r="DK158" s="109"/>
      <c r="DL158" s="186"/>
      <c r="DM158" s="186"/>
      <c r="DN158" s="186"/>
      <c r="DO158" s="186"/>
      <c r="DP158" s="186"/>
      <c r="DQ158" s="186"/>
      <c r="DR158" s="186"/>
      <c r="DS158" s="186"/>
      <c r="DT158" s="186"/>
      <c r="DU158" s="186"/>
      <c r="DV158" s="186"/>
      <c r="DW158" s="186"/>
      <c r="DX158" s="186"/>
      <c r="DY158" s="186"/>
    </row>
    <row r="159" spans="1:129" ht="21" customHeight="1" thickBot="1" x14ac:dyDescent="0.35">
      <c r="B159" s="244">
        <v>21</v>
      </c>
      <c r="C159" s="890"/>
      <c r="D159" s="16">
        <v>1</v>
      </c>
      <c r="E159" s="234" t="s">
        <v>287</v>
      </c>
      <c r="F159" s="235"/>
      <c r="G159" s="235">
        <f t="shared" si="37"/>
        <v>1.3</v>
      </c>
      <c r="H159" s="888">
        <v>251.073172</v>
      </c>
      <c r="I159" s="889">
        <v>65.636175100000003</v>
      </c>
      <c r="J159" s="374">
        <f t="shared" si="17"/>
        <v>64.636175100000003</v>
      </c>
      <c r="K159" s="374">
        <f t="shared" si="18"/>
        <v>32.318087550000001</v>
      </c>
      <c r="L159" s="374">
        <f t="shared" si="5"/>
        <v>0.53461916118589337</v>
      </c>
      <c r="M159" s="374">
        <f t="shared" si="6"/>
        <v>134.22852861092153</v>
      </c>
      <c r="N159" s="374">
        <f t="shared" si="7"/>
        <v>268.45705722184306</v>
      </c>
      <c r="O159" s="983">
        <f>+C139+D140+D141+D142+D143+D144+D145+D146+D147+D148+D149+D150+D151+D152+D153+D154+D155+D156+D157+D158+(D159/2)</f>
        <v>20.5</v>
      </c>
      <c r="P159" s="374">
        <f t="shared" si="8"/>
        <v>0.35020738125946715</v>
      </c>
      <c r="Q159" s="374">
        <f t="shared" si="9"/>
        <v>94.015642990284576</v>
      </c>
      <c r="R159" s="374">
        <f t="shared" si="19"/>
        <v>1138.6278952884754</v>
      </c>
      <c r="S159" s="374">
        <f t="shared" si="35"/>
        <v>1232.6435382787599</v>
      </c>
      <c r="T159" s="375">
        <f t="shared" si="10"/>
        <v>1232.6435382787599</v>
      </c>
      <c r="V159" s="929">
        <f t="shared" si="11"/>
        <v>0</v>
      </c>
      <c r="AB159" s="248" t="str">
        <f t="shared" si="20"/>
        <v>use the locking pin</v>
      </c>
      <c r="AC159" s="48" t="b">
        <f>IF(AD159=21,AF159)</f>
        <v>0</v>
      </c>
      <c r="AD159" s="48">
        <f t="shared" si="21"/>
        <v>1</v>
      </c>
      <c r="AE159" s="48">
        <f>IF(V159=0,0,21)</f>
        <v>0</v>
      </c>
      <c r="AF159" s="966">
        <f>SUM(V159:V164)/($B$136-B158)</f>
        <v>0</v>
      </c>
      <c r="AG159" s="972"/>
      <c r="AH159" s="353">
        <f>SUM(D140:D159)+$C$139</f>
        <v>21</v>
      </c>
      <c r="AI159" s="944" t="b">
        <f t="shared" si="22"/>
        <v>0</v>
      </c>
      <c r="AJ159" s="575">
        <f t="shared" si="23"/>
        <v>54.499008599999996</v>
      </c>
      <c r="AK159" s="944">
        <f t="shared" si="12"/>
        <v>0.81410547021842816</v>
      </c>
      <c r="AL159" s="944">
        <f t="shared" si="24"/>
        <v>236.61394871877258</v>
      </c>
      <c r="AM159" s="968">
        <f t="shared" si="25"/>
        <v>78.181912400000002</v>
      </c>
      <c r="AN159" s="944">
        <f t="shared" si="26"/>
        <v>0.97880278300112167</v>
      </c>
      <c r="AO159" s="969">
        <f t="shared" si="27"/>
        <v>245.7511194905193</v>
      </c>
      <c r="AP159" s="251">
        <f t="shared" ref="AP159:AP164" si="38">+((AF159*AQ159)+($AG$178*$AQ$178)+($AQ$202*$AG$202))/AR159</f>
        <v>-65.618019346146966</v>
      </c>
      <c r="AQ159" s="347">
        <f t="shared" si="28"/>
        <v>-556.70000000000005</v>
      </c>
      <c r="AR159" s="347">
        <f t="shared" ref="AR159:AR164" si="39">+AQ159+$AQ$202+$AQ$178+31+31</f>
        <v>-408.40000000000009</v>
      </c>
      <c r="AS159" s="348">
        <f t="shared" si="29"/>
        <v>482.36506820929185</v>
      </c>
      <c r="AT159" s="48">
        <f t="shared" si="36"/>
        <v>-245.7511194905193</v>
      </c>
      <c r="AU159" s="348">
        <f t="shared" si="30"/>
        <v>180.13310014437235</v>
      </c>
      <c r="AV159" s="350"/>
      <c r="AW159" s="350">
        <f t="shared" si="31"/>
        <v>-255.88821391220193</v>
      </c>
      <c r="AX159" s="351">
        <f t="shared" si="32"/>
        <v>-152.51178608779816</v>
      </c>
      <c r="AY159" s="351">
        <f t="shared" si="15"/>
        <v>-45.332294999644212</v>
      </c>
      <c r="AZ159" s="1043">
        <f t="shared" si="16"/>
        <v>-65.568702960721922</v>
      </c>
      <c r="BA159" s="241">
        <f t="shared" si="33"/>
        <v>45.332294999644212</v>
      </c>
      <c r="BB159" s="242">
        <f t="shared" si="33"/>
        <v>65.568702960721922</v>
      </c>
      <c r="BC159">
        <f t="shared" si="34"/>
        <v>0.3</v>
      </c>
      <c r="BD159" s="423"/>
      <c r="BM159" s="197"/>
      <c r="BN159" s="197"/>
      <c r="BO159" s="197"/>
    </row>
    <row r="160" spans="1:129" ht="21" customHeight="1" thickBot="1" x14ac:dyDescent="0.35">
      <c r="B160" s="244">
        <v>22</v>
      </c>
      <c r="C160" s="890"/>
      <c r="D160" s="16">
        <v>1</v>
      </c>
      <c r="E160" s="234" t="s">
        <v>288</v>
      </c>
      <c r="F160" s="235"/>
      <c r="G160" s="235">
        <f t="shared" si="37"/>
        <v>1.3</v>
      </c>
      <c r="H160" s="888">
        <v>251.073172</v>
      </c>
      <c r="I160" s="889">
        <v>65.636175100000003</v>
      </c>
      <c r="J160" s="374">
        <f t="shared" si="17"/>
        <v>64.636175100000003</v>
      </c>
      <c r="K160" s="374">
        <f t="shared" si="18"/>
        <v>32.318087550000001</v>
      </c>
      <c r="L160" s="374">
        <f t="shared" si="5"/>
        <v>0.53461916118589337</v>
      </c>
      <c r="M160" s="374">
        <f t="shared" si="6"/>
        <v>134.22852861092153</v>
      </c>
      <c r="N160" s="374">
        <f t="shared" si="7"/>
        <v>268.45705722184306</v>
      </c>
      <c r="O160" s="983">
        <f>+C139+D140+D141+D142+D143+D144+D145+D146+D147+D148+D149+D150+D151+D152+D153+D154+D155+D156+D157+D158+D159+(D160/2)</f>
        <v>21.5</v>
      </c>
      <c r="P160" s="374">
        <f t="shared" si="8"/>
        <v>0.36650122672429686</v>
      </c>
      <c r="Q160" s="374">
        <f t="shared" si="9"/>
        <v>98.389840794600232</v>
      </c>
      <c r="R160" s="374">
        <f t="shared" si="19"/>
        <v>1232.6435382787599</v>
      </c>
      <c r="S160" s="374">
        <f t="shared" si="35"/>
        <v>1331.0333790733603</v>
      </c>
      <c r="T160" s="375">
        <f t="shared" si="10"/>
        <v>1331.0333790733603</v>
      </c>
      <c r="V160" s="929">
        <f t="shared" si="11"/>
        <v>0</v>
      </c>
      <c r="AB160" s="248" t="str">
        <f t="shared" si="20"/>
        <v>use the locking pin</v>
      </c>
      <c r="AC160" s="48" t="b">
        <f>IF(AD160=22,AF160)</f>
        <v>0</v>
      </c>
      <c r="AD160" s="48">
        <f t="shared" si="21"/>
        <v>1</v>
      </c>
      <c r="AE160" s="48">
        <f>IF(V160=0,0,22)</f>
        <v>0</v>
      </c>
      <c r="AF160" s="966">
        <f>SUM(V160:V164)/($B$136-B159)</f>
        <v>0</v>
      </c>
      <c r="AG160" s="972"/>
      <c r="AH160" s="353">
        <f>SUM(D140:D160)+$C$139</f>
        <v>22</v>
      </c>
      <c r="AI160" s="944" t="b">
        <f t="shared" si="22"/>
        <v>0</v>
      </c>
      <c r="AJ160" s="575">
        <f t="shared" si="23"/>
        <v>53.499008599999996</v>
      </c>
      <c r="AK160" s="944">
        <f t="shared" si="12"/>
        <v>0.80384656816268329</v>
      </c>
      <c r="AL160" s="944">
        <f t="shared" si="24"/>
        <v>233.63227200275978</v>
      </c>
      <c r="AM160" s="968">
        <f t="shared" si="25"/>
        <v>79.181912400000002</v>
      </c>
      <c r="AN160" s="944">
        <f t="shared" si="26"/>
        <v>0.98222804771777472</v>
      </c>
      <c r="AO160" s="969">
        <f t="shared" si="27"/>
        <v>246.61111156786907</v>
      </c>
      <c r="AP160" s="251">
        <f t="shared" si="38"/>
        <v>-61.225494861700767</v>
      </c>
      <c r="AQ160" s="347">
        <f t="shared" si="28"/>
        <v>-586</v>
      </c>
      <c r="AR160" s="347">
        <f t="shared" si="39"/>
        <v>-437.70000000000005</v>
      </c>
      <c r="AS160" s="348">
        <f t="shared" si="29"/>
        <v>480.24338357062885</v>
      </c>
      <c r="AT160" s="48">
        <f t="shared" si="36"/>
        <v>-246.61111156786907</v>
      </c>
      <c r="AU160" s="348">
        <f t="shared" si="30"/>
        <v>185.38561670616832</v>
      </c>
      <c r="AV160" s="350"/>
      <c r="AW160" s="350">
        <f t="shared" si="31"/>
        <v>-268.73716322131025</v>
      </c>
      <c r="AX160" s="351">
        <f t="shared" si="32"/>
        <v>-168.96283677868982</v>
      </c>
      <c r="AY160" s="351">
        <f t="shared" si="15"/>
        <v>-43.16485245640245</v>
      </c>
      <c r="AZ160" s="1043">
        <f t="shared" si="16"/>
        <v>-59.184612371880078</v>
      </c>
      <c r="BA160" s="241">
        <f t="shared" ref="BA160:BB164" si="40">ABS(AY160)</f>
        <v>43.16485245640245</v>
      </c>
      <c r="BB160" s="242">
        <f t="shared" si="40"/>
        <v>59.184612371880078</v>
      </c>
      <c r="BC160">
        <f t="shared" si="34"/>
        <v>0.3</v>
      </c>
      <c r="BD160" s="423"/>
      <c r="BM160" s="197"/>
      <c r="BN160" s="197"/>
      <c r="BO160" s="197"/>
    </row>
    <row r="161" spans="2:142" ht="21" customHeight="1" thickBot="1" x14ac:dyDescent="0.35">
      <c r="B161" s="244">
        <v>23</v>
      </c>
      <c r="C161" s="890"/>
      <c r="D161" s="16">
        <v>1</v>
      </c>
      <c r="E161" s="234" t="s">
        <v>289</v>
      </c>
      <c r="F161" s="235"/>
      <c r="G161" s="235">
        <f t="shared" si="37"/>
        <v>1.3</v>
      </c>
      <c r="H161" s="888">
        <v>251.073172</v>
      </c>
      <c r="I161" s="889">
        <v>65.636175100000003</v>
      </c>
      <c r="J161" s="374">
        <f t="shared" si="17"/>
        <v>64.636175100000003</v>
      </c>
      <c r="K161" s="374">
        <f t="shared" si="18"/>
        <v>32.318087550000001</v>
      </c>
      <c r="L161" s="374">
        <f t="shared" si="5"/>
        <v>0.53461916118589337</v>
      </c>
      <c r="M161" s="374">
        <f t="shared" si="6"/>
        <v>134.22852861092153</v>
      </c>
      <c r="N161" s="374">
        <f t="shared" si="7"/>
        <v>268.45705722184306</v>
      </c>
      <c r="O161" s="983">
        <f>+C139+D140+D141+D142+D143+D144+D145+D146+D147+D148+D149+D150+D151+D152+D153+D154+D155+D156+D157+D158+D159+D160+(D161/2)</f>
        <v>22.5</v>
      </c>
      <c r="P161" s="374">
        <f t="shared" si="8"/>
        <v>0.38268343236508939</v>
      </c>
      <c r="Q161" s="374">
        <f t="shared" si="9"/>
        <v>102.73406810028611</v>
      </c>
      <c r="R161" s="374">
        <f t="shared" si="19"/>
        <v>1331.0333790733603</v>
      </c>
      <c r="S161" s="374">
        <f t="shared" si="35"/>
        <v>1433.7674471736464</v>
      </c>
      <c r="T161" s="375">
        <f t="shared" si="10"/>
        <v>1433.7674471736464</v>
      </c>
      <c r="V161" s="929">
        <f t="shared" si="11"/>
        <v>0</v>
      </c>
      <c r="AB161" s="248" t="str">
        <f t="shared" si="20"/>
        <v>use the locking pin</v>
      </c>
      <c r="AC161" s="48" t="b">
        <f>IF(AD161=23,AF161)</f>
        <v>0</v>
      </c>
      <c r="AD161" s="48">
        <f t="shared" si="21"/>
        <v>1</v>
      </c>
      <c r="AE161" s="48">
        <f>IF(V161=0,0,23)</f>
        <v>0</v>
      </c>
      <c r="AF161" s="966">
        <f>SUM(V161:V164)/($B$136-B160)</f>
        <v>0</v>
      </c>
      <c r="AG161" s="972"/>
      <c r="AH161" s="353">
        <f>SUM(D140:D161)+$C$139</f>
        <v>23</v>
      </c>
      <c r="AI161" s="944" t="b">
        <f t="shared" si="22"/>
        <v>0</v>
      </c>
      <c r="AJ161" s="575">
        <f t="shared" si="23"/>
        <v>52.499008599999996</v>
      </c>
      <c r="AK161" s="944">
        <f t="shared" si="12"/>
        <v>0.79334280665523971</v>
      </c>
      <c r="AL161" s="944">
        <f t="shared" si="24"/>
        <v>230.57942863344837</v>
      </c>
      <c r="AM161" s="968">
        <f t="shared" si="25"/>
        <v>80.181912400000002</v>
      </c>
      <c r="AN161" s="944">
        <f t="shared" si="26"/>
        <v>0.98535411625603619</v>
      </c>
      <c r="AO161" s="969">
        <f t="shared" si="27"/>
        <v>247.39598351165978</v>
      </c>
      <c r="AP161" s="251">
        <f t="shared" si="38"/>
        <v>-57.38415225046343</v>
      </c>
      <c r="AQ161" s="347">
        <f t="shared" si="28"/>
        <v>-615.30000000000007</v>
      </c>
      <c r="AR161" s="347">
        <f t="shared" si="39"/>
        <v>-467.00000000000011</v>
      </c>
      <c r="AS161" s="348">
        <f t="shared" si="29"/>
        <v>477.97541214510818</v>
      </c>
      <c r="AT161" s="48">
        <f t="shared" si="36"/>
        <v>-247.39598351165978</v>
      </c>
      <c r="AU161" s="348">
        <f t="shared" si="30"/>
        <v>190.01183126119633</v>
      </c>
      <c r="AV161" s="350"/>
      <c r="AW161" s="350">
        <f t="shared" si="31"/>
        <v>-281.35127635385669</v>
      </c>
      <c r="AX161" s="351">
        <f t="shared" si="32"/>
        <v>-185.64872364614345</v>
      </c>
      <c r="AY161" s="351">
        <f t="shared" si="15"/>
        <v>-41.229597925870543</v>
      </c>
      <c r="AZ161" s="1043">
        <f t="shared" si="16"/>
        <v>-53.865169679596306</v>
      </c>
      <c r="BA161" s="241">
        <f t="shared" si="40"/>
        <v>41.229597925870543</v>
      </c>
      <c r="BB161" s="242">
        <f t="shared" si="40"/>
        <v>53.865169679596306</v>
      </c>
      <c r="BC161">
        <f t="shared" si="34"/>
        <v>0.3</v>
      </c>
      <c r="BD161" s="423"/>
      <c r="BM161" s="197"/>
      <c r="BN161" s="197"/>
      <c r="BO161" s="197"/>
    </row>
    <row r="162" spans="2:142" ht="21" customHeight="1" thickBot="1" x14ac:dyDescent="0.35">
      <c r="B162" s="244">
        <v>24</v>
      </c>
      <c r="C162" s="891"/>
      <c r="D162" s="16">
        <v>1</v>
      </c>
      <c r="E162" s="234" t="s">
        <v>290</v>
      </c>
      <c r="F162" s="235"/>
      <c r="G162" s="235">
        <f t="shared" si="37"/>
        <v>1.3</v>
      </c>
      <c r="H162" s="888">
        <v>251.073172</v>
      </c>
      <c r="I162" s="889">
        <v>65.636175100000003</v>
      </c>
      <c r="J162" s="374">
        <f t="shared" si="17"/>
        <v>64.636175100000003</v>
      </c>
      <c r="K162" s="374">
        <f t="shared" si="18"/>
        <v>32.318087550000001</v>
      </c>
      <c r="L162" s="374">
        <f t="shared" si="5"/>
        <v>0.53461916118589337</v>
      </c>
      <c r="M162" s="374">
        <f t="shared" si="6"/>
        <v>134.22852861092153</v>
      </c>
      <c r="N162" s="374">
        <f t="shared" si="7"/>
        <v>268.45705722184306</v>
      </c>
      <c r="O162" s="983">
        <f>+C139+D140+D141+D142+D143+D144+D145+D146+D147+D148+D149+D150+D151+D152+D153+D154+D155+D156+D157+D158+D159+D160+D161+(D162/2)</f>
        <v>23.5</v>
      </c>
      <c r="P162" s="374">
        <f t="shared" si="8"/>
        <v>0.39874906892524581</v>
      </c>
      <c r="Q162" s="374">
        <f t="shared" si="9"/>
        <v>107.04700161362136</v>
      </c>
      <c r="R162" s="374">
        <f t="shared" si="19"/>
        <v>1433.7674471736464</v>
      </c>
      <c r="S162" s="374">
        <f t="shared" si="35"/>
        <v>1540.8144487872678</v>
      </c>
      <c r="T162" s="375">
        <f t="shared" si="10"/>
        <v>1540.8144487872678</v>
      </c>
      <c r="V162" s="929">
        <f t="shared" si="11"/>
        <v>0</v>
      </c>
      <c r="AB162" s="248" t="str">
        <f t="shared" si="20"/>
        <v>use the locking pin</v>
      </c>
      <c r="AC162" s="48" t="b">
        <f>IF(AD162=24,AF162)</f>
        <v>0</v>
      </c>
      <c r="AD162" s="48">
        <f t="shared" si="21"/>
        <v>1</v>
      </c>
      <c r="AE162" s="48">
        <f>IF(V162=0,0,24)</f>
        <v>0</v>
      </c>
      <c r="AF162" s="966">
        <f>SUM(V162:V164)/($B$136-B161)</f>
        <v>0</v>
      </c>
      <c r="AG162" s="972"/>
      <c r="AH162" s="353">
        <f>SUM(D140:D162)+$C$139</f>
        <v>24</v>
      </c>
      <c r="AI162" s="944" t="b">
        <f t="shared" si="22"/>
        <v>0</v>
      </c>
      <c r="AJ162" s="575">
        <f t="shared" si="23"/>
        <v>51.499008599999996</v>
      </c>
      <c r="AK162" s="944">
        <f t="shared" si="12"/>
        <v>0.78259738524360445</v>
      </c>
      <c r="AL162" s="944">
        <f t="shared" si="24"/>
        <v>227.45634853650211</v>
      </c>
      <c r="AM162" s="968">
        <f t="shared" si="25"/>
        <v>81.181912400000002</v>
      </c>
      <c r="AN162" s="944">
        <f t="shared" si="26"/>
        <v>0.9881800363851464</v>
      </c>
      <c r="AO162" s="969">
        <f t="shared" si="27"/>
        <v>248.10549624229412</v>
      </c>
      <c r="AP162" s="251">
        <f t="shared" si="38"/>
        <v>-53.996371349922271</v>
      </c>
      <c r="AQ162" s="347">
        <f t="shared" si="28"/>
        <v>-644.6</v>
      </c>
      <c r="AR162" s="347">
        <f t="shared" si="39"/>
        <v>-496.30000000000007</v>
      </c>
      <c r="AS162" s="348">
        <f t="shared" si="29"/>
        <v>475.56184477879623</v>
      </c>
      <c r="AT162" s="48">
        <f t="shared" si="36"/>
        <v>-248.10549624229412</v>
      </c>
      <c r="AU162" s="348">
        <f t="shared" si="30"/>
        <v>194.10912489237185</v>
      </c>
      <c r="AV162" s="350"/>
      <c r="AW162" s="350">
        <f t="shared" si="31"/>
        <v>-293.72622386181081</v>
      </c>
      <c r="AX162" s="351">
        <f t="shared" si="32"/>
        <v>-202.57377613818923</v>
      </c>
      <c r="AY162" s="351">
        <f t="shared" si="15"/>
        <v>-39.492558231564111</v>
      </c>
      <c r="AZ162" s="1043">
        <f t="shared" si="16"/>
        <v>-49.364731164305915</v>
      </c>
      <c r="BA162" s="241">
        <f t="shared" si="40"/>
        <v>39.492558231564111</v>
      </c>
      <c r="BB162" s="242">
        <f t="shared" si="40"/>
        <v>49.364731164305915</v>
      </c>
      <c r="BC162">
        <f t="shared" si="34"/>
        <v>0.3</v>
      </c>
      <c r="BD162" s="423"/>
      <c r="BM162" s="197"/>
      <c r="BN162" s="197"/>
      <c r="BO162" s="197"/>
    </row>
    <row r="163" spans="2:142" ht="21" customHeight="1" thickBot="1" x14ac:dyDescent="0.35">
      <c r="B163" s="244">
        <v>25</v>
      </c>
      <c r="C163" s="892"/>
      <c r="D163" s="16">
        <v>1</v>
      </c>
      <c r="E163" s="234" t="s">
        <v>291</v>
      </c>
      <c r="F163" s="235"/>
      <c r="G163" s="235">
        <f t="shared" si="37"/>
        <v>1.3</v>
      </c>
      <c r="H163" s="888">
        <v>251.073172</v>
      </c>
      <c r="I163" s="889">
        <v>65.636175100000003</v>
      </c>
      <c r="J163" s="374">
        <f t="shared" si="17"/>
        <v>64.636175100000003</v>
      </c>
      <c r="K163" s="374">
        <f t="shared" si="18"/>
        <v>32.318087550000001</v>
      </c>
      <c r="L163" s="374">
        <f t="shared" si="5"/>
        <v>0.53461916118589337</v>
      </c>
      <c r="M163" s="374">
        <f t="shared" si="6"/>
        <v>134.22852861092153</v>
      </c>
      <c r="N163" s="374">
        <f t="shared" si="7"/>
        <v>268.45705722184306</v>
      </c>
      <c r="O163" s="983">
        <f>+C139+D140+D141+D142+D143+D144+D145+D146+D147+D148+D149+D150+D151+D152+D153+D154+D155+D156+D157+D158+D159+D160+D161+D162+(D163/2)</f>
        <v>24.5</v>
      </c>
      <c r="P163" s="374">
        <f t="shared" si="8"/>
        <v>0.41469324265623864</v>
      </c>
      <c r="Q163" s="374">
        <f t="shared" si="9"/>
        <v>111.3273275732775</v>
      </c>
      <c r="R163" s="374">
        <f t="shared" si="19"/>
        <v>1540.8144487872678</v>
      </c>
      <c r="S163" s="374">
        <f t="shared" si="35"/>
        <v>1652.1417763605452</v>
      </c>
      <c r="T163" s="375">
        <f t="shared" si="10"/>
        <v>1652.1417763605452</v>
      </c>
      <c r="V163" s="929">
        <f t="shared" si="11"/>
        <v>0</v>
      </c>
      <c r="AB163" s="248" t="str">
        <f t="shared" si="20"/>
        <v>use the locking pin</v>
      </c>
      <c r="AC163" s="48" t="b">
        <f>IF(AD163=25,AF163)</f>
        <v>0</v>
      </c>
      <c r="AD163" s="48">
        <f t="shared" si="21"/>
        <v>1</v>
      </c>
      <c r="AE163" s="48">
        <f>IF(V163=0,0,25)</f>
        <v>0</v>
      </c>
      <c r="AF163" s="966">
        <f>SUM(V163:V164)/($B$136-B162)</f>
        <v>0</v>
      </c>
      <c r="AG163" s="972"/>
      <c r="AH163" s="353">
        <f>SUM(D140:D163)+$C$139</f>
        <v>25</v>
      </c>
      <c r="AI163" s="944" t="b">
        <f t="shared" si="22"/>
        <v>0</v>
      </c>
      <c r="AJ163" s="575">
        <f t="shared" si="23"/>
        <v>50.499008599999996</v>
      </c>
      <c r="AK163" s="944">
        <f t="shared" si="12"/>
        <v>0.77161357708723288</v>
      </c>
      <c r="AL163" s="944">
        <f t="shared" si="24"/>
        <v>224.26398303237247</v>
      </c>
      <c r="AM163" s="968">
        <f t="shared" si="25"/>
        <v>82.181912400000002</v>
      </c>
      <c r="AN163" s="944">
        <f t="shared" si="26"/>
        <v>0.99070494730245873</v>
      </c>
      <c r="AO163" s="969">
        <f t="shared" si="27"/>
        <v>248.73943363532115</v>
      </c>
      <c r="AP163" s="251">
        <f t="shared" si="38"/>
        <v>-50.98629965937296</v>
      </c>
      <c r="AQ163" s="347">
        <f t="shared" si="28"/>
        <v>-673.9</v>
      </c>
      <c r="AR163" s="347">
        <f t="shared" si="39"/>
        <v>-525.6</v>
      </c>
      <c r="AS163" s="348">
        <f t="shared" si="29"/>
        <v>473.00341666769361</v>
      </c>
      <c r="AT163" s="48">
        <f t="shared" si="36"/>
        <v>-248.73943363532115</v>
      </c>
      <c r="AU163" s="348">
        <f t="shared" si="30"/>
        <v>197.75313397594817</v>
      </c>
      <c r="AV163" s="350"/>
      <c r="AW163" s="350">
        <f t="shared" si="31"/>
        <v>-305.85730141653443</v>
      </c>
      <c r="AX163" s="351">
        <f t="shared" si="32"/>
        <v>-219.74269858346554</v>
      </c>
      <c r="AY163" s="351">
        <f t="shared" si="15"/>
        <v>-37.926183047703148</v>
      </c>
      <c r="AZ163" s="1043">
        <f t="shared" si="16"/>
        <v>-45.507769152118925</v>
      </c>
      <c r="BA163" s="241">
        <f t="shared" si="40"/>
        <v>37.926183047703148</v>
      </c>
      <c r="BB163" s="242">
        <f t="shared" si="40"/>
        <v>45.507769152118925</v>
      </c>
      <c r="BC163">
        <f t="shared" si="34"/>
        <v>0.3</v>
      </c>
      <c r="BD163" s="423"/>
      <c r="BM163" s="197"/>
      <c r="BN163" s="197"/>
      <c r="BO163" s="197"/>
    </row>
    <row r="164" spans="2:142" ht="21" customHeight="1" thickBot="1" x14ac:dyDescent="0.35">
      <c r="B164" s="244">
        <v>26</v>
      </c>
      <c r="C164" s="892"/>
      <c r="D164" s="16">
        <v>1</v>
      </c>
      <c r="E164" s="234" t="s">
        <v>292</v>
      </c>
      <c r="F164" s="235"/>
      <c r="G164" s="235">
        <f t="shared" si="37"/>
        <v>1.3</v>
      </c>
      <c r="H164" s="888">
        <v>251.073172</v>
      </c>
      <c r="I164" s="889">
        <v>65.636175100000003</v>
      </c>
      <c r="J164" s="374">
        <f t="shared" si="17"/>
        <v>64.636175100000003</v>
      </c>
      <c r="K164" s="374">
        <f t="shared" si="18"/>
        <v>32.318087550000001</v>
      </c>
      <c r="L164" s="374">
        <f t="shared" si="5"/>
        <v>0.53461916118589337</v>
      </c>
      <c r="M164" s="374">
        <f t="shared" si="6"/>
        <v>134.22852861092153</v>
      </c>
      <c r="N164" s="374">
        <f t="shared" si="7"/>
        <v>268.45705722184306</v>
      </c>
      <c r="O164" s="983">
        <f>+C139+D140+D141+D142+D143+D144+D145+D146+D147+D148+D149+D150+D151+D152+D153+D154+D155+D156+D157+D158+D159+D160+D161+D162+D163+(D164/2)</f>
        <v>25.5</v>
      </c>
      <c r="P164" s="374">
        <f t="shared" si="8"/>
        <v>0.43051109680829475</v>
      </c>
      <c r="Q164" s="374">
        <f t="shared" si="9"/>
        <v>115.5737421505028</v>
      </c>
      <c r="R164" s="374">
        <f t="shared" si="19"/>
        <v>1652.1417763605452</v>
      </c>
      <c r="S164" s="374">
        <f t="shared" si="35"/>
        <v>1767.715518511048</v>
      </c>
      <c r="T164" s="375">
        <f t="shared" si="10"/>
        <v>1767.715518511048</v>
      </c>
      <c r="V164" s="929">
        <f t="shared" si="11"/>
        <v>0</v>
      </c>
      <c r="AB164" s="248" t="str">
        <f t="shared" si="20"/>
        <v>use the locking pin</v>
      </c>
      <c r="AC164" s="48" t="b">
        <f>IF(AD164=26,AF164)</f>
        <v>0</v>
      </c>
      <c r="AD164" s="48">
        <f t="shared" si="21"/>
        <v>1</v>
      </c>
      <c r="AE164" s="48">
        <f>IF(V164=0,0,26)</f>
        <v>0</v>
      </c>
      <c r="AF164" s="966">
        <f>SUM(V164)/($B$136-B163)</f>
        <v>0</v>
      </c>
      <c r="AG164" s="972"/>
      <c r="AH164" s="353">
        <f>SUM(D140:D164)+$C$139</f>
        <v>26</v>
      </c>
      <c r="AI164" s="944" t="b">
        <f t="shared" si="22"/>
        <v>0</v>
      </c>
      <c r="AJ164" s="575">
        <f t="shared" si="23"/>
        <v>49.499008599999996</v>
      </c>
      <c r="AK164" s="944">
        <f t="shared" si="12"/>
        <v>0.76039472796049201</v>
      </c>
      <c r="AL164" s="944">
        <f t="shared" si="24"/>
        <v>221.0033045465172</v>
      </c>
      <c r="AM164" s="968">
        <f t="shared" si="25"/>
        <v>83.181912400000002</v>
      </c>
      <c r="AN164" s="944">
        <f t="shared" si="26"/>
        <v>0.99292807989564835</v>
      </c>
      <c r="AO164" s="969">
        <f t="shared" si="27"/>
        <v>249.29760258726986</v>
      </c>
      <c r="AP164" s="251">
        <f t="shared" si="38"/>
        <v>-48.294105426142409</v>
      </c>
      <c r="AQ164" s="347">
        <f t="shared" si="28"/>
        <v>-703.2</v>
      </c>
      <c r="AR164" s="347">
        <f t="shared" si="39"/>
        <v>-554.90000000000009</v>
      </c>
      <c r="AS164" s="348">
        <f t="shared" si="29"/>
        <v>470.30090713378706</v>
      </c>
      <c r="AT164" s="48">
        <f t="shared" si="36"/>
        <v>-249.29760258726986</v>
      </c>
      <c r="AU164" s="348">
        <f t="shared" si="30"/>
        <v>201.00349716112746</v>
      </c>
      <c r="AV164" s="350"/>
      <c r="AW164" s="350">
        <f t="shared" si="31"/>
        <v>-317.73941008223363</v>
      </c>
      <c r="AX164" s="351">
        <f t="shared" si="32"/>
        <v>-237.16058991776646</v>
      </c>
      <c r="AY164" s="351">
        <f t="shared" si="15"/>
        <v>-36.507904376727531</v>
      </c>
      <c r="AZ164" s="1043">
        <f t="shared" si="16"/>
        <v>-42.165521697628684</v>
      </c>
      <c r="BA164" s="241">
        <f t="shared" si="40"/>
        <v>36.507904376727531</v>
      </c>
      <c r="BB164" s="242">
        <f t="shared" si="40"/>
        <v>42.165521697628684</v>
      </c>
      <c r="BC164">
        <f t="shared" si="34"/>
        <v>0.3</v>
      </c>
      <c r="BD164" s="423"/>
      <c r="BM164" s="197"/>
      <c r="BN164" s="197"/>
      <c r="BO164" s="197"/>
    </row>
    <row r="165" spans="2:142" ht="24.75" customHeight="1" thickBot="1" x14ac:dyDescent="0.35">
      <c r="D165" s="421"/>
      <c r="E165" s="421"/>
      <c r="F165" s="421"/>
      <c r="G165" s="421"/>
      <c r="V165" s="340"/>
      <c r="W165" s="340"/>
      <c r="X165" s="340"/>
      <c r="Y165" s="340"/>
      <c r="Z165" s="340"/>
      <c r="AA165" s="340"/>
      <c r="AB165" s="366"/>
      <c r="AC165" s="366"/>
      <c r="AD165" s="366"/>
      <c r="AE165" s="366"/>
      <c r="AF165" s="340"/>
      <c r="AG165" s="340"/>
      <c r="AH165" s="340"/>
      <c r="AI165" s="340"/>
      <c r="AJ165" s="421"/>
      <c r="AK165" s="318"/>
      <c r="AL165" s="254"/>
      <c r="AM165" s="421"/>
      <c r="AN165" s="318"/>
      <c r="AO165" s="254"/>
      <c r="AP165" s="348"/>
      <c r="AQ165" s="254"/>
      <c r="AR165" s="348"/>
      <c r="AS165" s="348"/>
      <c r="AT165" s="348"/>
      <c r="AU165" s="348"/>
      <c r="AV165" s="348"/>
      <c r="AW165" s="348"/>
      <c r="AX165" s="348"/>
      <c r="AY165" s="422"/>
      <c r="AZ165" s="422"/>
      <c r="BA165" s="422"/>
      <c r="BB165" s="422"/>
      <c r="BD165" s="423"/>
      <c r="BM165" s="197"/>
      <c r="BN165" s="197"/>
      <c r="BO165" s="197"/>
    </row>
    <row r="166" spans="2:142" ht="24.75" customHeight="1" thickBot="1" x14ac:dyDescent="0.35">
      <c r="B166" s="1134" t="s">
        <v>306</v>
      </c>
      <c r="D166" s="421"/>
      <c r="E166" s="421"/>
      <c r="F166" s="421"/>
      <c r="G166" s="421"/>
      <c r="V166" s="340"/>
      <c r="W166" s="340"/>
      <c r="X166" s="340"/>
      <c r="Y166" s="340"/>
      <c r="Z166" s="340"/>
      <c r="AA166" s="340"/>
      <c r="AB166" s="366"/>
      <c r="AC166" s="366"/>
      <c r="AD166" s="366"/>
      <c r="AE166" s="366"/>
      <c r="AF166" s="340"/>
      <c r="AG166" s="340"/>
      <c r="AH166" s="424" t="s">
        <v>71</v>
      </c>
      <c r="AI166" s="425">
        <f>MAX(AI139:AI164)</f>
        <v>1</v>
      </c>
      <c r="AJ166" s="421"/>
      <c r="AK166" s="318"/>
      <c r="AL166" s="686" t="s">
        <v>152</v>
      </c>
      <c r="AM166" s="687"/>
      <c r="AN166" s="687"/>
      <c r="AO166" s="687"/>
      <c r="AP166" s="688"/>
      <c r="AQ166" s="254"/>
      <c r="AR166" s="348"/>
      <c r="AS166" s="348"/>
      <c r="AT166" s="348"/>
      <c r="AU166" s="348"/>
      <c r="AV166" s="348"/>
      <c r="AW166" s="348"/>
      <c r="AX166" s="348"/>
      <c r="AY166" s="422"/>
      <c r="AZ166" s="422"/>
      <c r="BA166" s="422"/>
      <c r="BB166" s="422"/>
      <c r="BD166" s="423"/>
      <c r="BM166" s="197"/>
      <c r="BN166" s="197"/>
      <c r="BO166" s="197"/>
    </row>
    <row r="167" spans="2:142" ht="24.75" customHeight="1" thickBot="1" x14ac:dyDescent="0.35">
      <c r="B167" s="1135"/>
      <c r="E167" s="182"/>
      <c r="F167" s="421"/>
      <c r="G167" s="421"/>
      <c r="V167" s="340"/>
      <c r="W167" s="340"/>
      <c r="X167" s="340"/>
      <c r="Y167" s="340"/>
      <c r="Z167" s="340"/>
      <c r="AA167" s="340"/>
      <c r="AB167" s="366"/>
      <c r="AC167" s="366"/>
      <c r="AD167" s="366"/>
      <c r="AE167" s="366"/>
      <c r="AF167" s="340"/>
      <c r="AG167" s="340"/>
      <c r="AH167" s="694"/>
      <c r="AI167" s="695"/>
      <c r="AJ167" s="421"/>
      <c r="AK167" s="318"/>
      <c r="AL167" s="657" t="s">
        <v>129</v>
      </c>
      <c r="AM167" s="658" t="s">
        <v>130</v>
      </c>
      <c r="AN167" s="658" t="s">
        <v>131</v>
      </c>
      <c r="AO167" s="659" t="s">
        <v>135</v>
      </c>
      <c r="AP167" s="660"/>
      <c r="AQ167" s="254"/>
      <c r="AR167" s="348"/>
      <c r="AS167" s="348"/>
      <c r="AT167" s="348"/>
      <c r="AU167" s="348"/>
      <c r="AV167" s="348"/>
      <c r="AW167" s="348"/>
      <c r="AX167" s="348"/>
      <c r="AY167" s="422"/>
      <c r="AZ167" s="422"/>
      <c r="BA167" s="422"/>
      <c r="BB167" s="422"/>
      <c r="BD167" s="423"/>
      <c r="BM167" s="197"/>
      <c r="BN167" s="197"/>
      <c r="BO167" s="197"/>
    </row>
    <row r="168" spans="2:142" ht="24.75" customHeight="1" thickBot="1" x14ac:dyDescent="0.35">
      <c r="B168" s="1135"/>
      <c r="D168" s="421"/>
      <c r="E168" s="421"/>
      <c r="F168" s="421"/>
      <c r="G168" s="421"/>
      <c r="V168" s="340"/>
      <c r="W168" s="340"/>
      <c r="X168" s="340"/>
      <c r="Y168" s="340"/>
      <c r="Z168" s="340"/>
      <c r="AA168" s="340"/>
      <c r="AB168" s="366"/>
      <c r="AC168" s="366"/>
      <c r="AD168" s="366"/>
      <c r="AE168" s="366"/>
      <c r="AF168" s="340"/>
      <c r="AG168" s="340"/>
      <c r="AH168" s="694"/>
      <c r="AI168" s="695"/>
      <c r="AJ168" s="421"/>
      <c r="AK168" s="318"/>
      <c r="AL168" s="661">
        <v>6.8623010000000004</v>
      </c>
      <c r="AM168" s="662">
        <f>+(AI166*-1)-AL168</f>
        <v>-7.8623010000000004</v>
      </c>
      <c r="AN168" s="663">
        <f>COS(AM168*3.14159265358979/180)</f>
        <v>0.9905996834409182</v>
      </c>
      <c r="AO168" s="689">
        <f>+AN168*378.71303</f>
        <v>375.15300763295096</v>
      </c>
      <c r="AP168" s="664"/>
      <c r="AQ168" s="254"/>
      <c r="AR168" s="348"/>
      <c r="AS168" s="348"/>
      <c r="AT168" s="348"/>
      <c r="AU168" s="348"/>
      <c r="AV168" s="348"/>
      <c r="AW168" s="348"/>
      <c r="AX168" s="348"/>
      <c r="AY168" s="422"/>
      <c r="AZ168" s="422"/>
      <c r="BA168" s="422"/>
      <c r="BB168" s="422"/>
      <c r="BD168" s="423"/>
      <c r="BM168" s="197"/>
      <c r="BN168" s="197"/>
      <c r="BO168" s="197"/>
    </row>
    <row r="169" spans="2:142" ht="24.75" customHeight="1" thickBot="1" x14ac:dyDescent="0.35">
      <c r="B169" s="1135"/>
      <c r="D169" s="421"/>
      <c r="E169" s="421"/>
      <c r="F169" s="421"/>
      <c r="G169" s="421"/>
      <c r="V169" s="340"/>
      <c r="W169" s="340"/>
      <c r="X169" s="340"/>
      <c r="Y169" s="340"/>
      <c r="Z169" s="340"/>
      <c r="AA169" s="340"/>
      <c r="AB169" s="366"/>
      <c r="AC169" s="366"/>
      <c r="AD169" s="366"/>
      <c r="AE169" s="366"/>
      <c r="AF169" s="340"/>
      <c r="AG169" s="340"/>
      <c r="AH169" s="694"/>
      <c r="AI169" s="695"/>
      <c r="AJ169" s="421"/>
      <c r="AK169" s="318"/>
      <c r="AL169" s="685" t="s">
        <v>151</v>
      </c>
      <c r="AM169" s="690"/>
      <c r="AN169" s="690"/>
      <c r="AO169" s="690"/>
      <c r="AP169" s="691"/>
      <c r="AQ169" s="254"/>
      <c r="AR169" s="348"/>
      <c r="AS169" s="348"/>
      <c r="AT169" s="348"/>
      <c r="AU169" s="348"/>
      <c r="AV169" s="348"/>
      <c r="AW169" s="348"/>
      <c r="AX169" s="348"/>
      <c r="AY169" s="422"/>
      <c r="AZ169" s="422"/>
      <c r="BA169" s="422"/>
      <c r="BB169" s="422"/>
      <c r="BD169" s="423"/>
      <c r="BM169" s="197"/>
      <c r="BN169" s="197"/>
      <c r="BO169" s="197"/>
    </row>
    <row r="170" spans="2:142" ht="24.75" customHeight="1" x14ac:dyDescent="0.3">
      <c r="B170" s="1135"/>
      <c r="F170" s="421"/>
      <c r="G170" s="421"/>
      <c r="V170" s="340"/>
      <c r="W170" s="340"/>
      <c r="X170" s="340"/>
      <c r="Y170" s="340"/>
      <c r="Z170" s="340"/>
      <c r="AA170" s="340"/>
      <c r="AB170" s="366"/>
      <c r="AC170" s="366"/>
      <c r="AD170" s="366"/>
      <c r="AE170" s="366"/>
      <c r="AF170" s="340"/>
      <c r="AG170" s="340"/>
      <c r="AH170" s="694"/>
      <c r="AI170" s="695"/>
      <c r="AJ170" s="421"/>
      <c r="AK170" s="318"/>
      <c r="AL170" s="692"/>
      <c r="AM170" s="658" t="s">
        <v>147</v>
      </c>
      <c r="AN170" s="658" t="s">
        <v>146</v>
      </c>
      <c r="AO170" s="659" t="s">
        <v>149</v>
      </c>
      <c r="AP170" s="961" t="s">
        <v>144</v>
      </c>
      <c r="AQ170" s="254"/>
      <c r="AR170" s="348"/>
      <c r="AS170" s="348"/>
      <c r="AT170" s="348"/>
      <c r="AU170" s="348"/>
      <c r="AV170" s="348"/>
      <c r="AW170" s="348"/>
      <c r="AX170" s="348"/>
      <c r="AY170" s="422"/>
      <c r="AZ170" s="422"/>
      <c r="BA170" s="422"/>
      <c r="BB170" s="422"/>
      <c r="BD170" s="423"/>
      <c r="BM170" s="197"/>
      <c r="BN170" s="197"/>
      <c r="BO170" s="197"/>
    </row>
    <row r="171" spans="2:142" ht="24.75" customHeight="1" thickBot="1" x14ac:dyDescent="0.35">
      <c r="B171" s="1136"/>
      <c r="C171"/>
      <c r="E171" s="421"/>
      <c r="F171" s="421"/>
      <c r="G171" s="421"/>
      <c r="V171" s="340"/>
      <c r="W171" s="340"/>
      <c r="X171" s="340"/>
      <c r="Y171" s="340"/>
      <c r="Z171" s="340"/>
      <c r="AA171" s="340"/>
      <c r="AB171" s="366"/>
      <c r="AC171" s="366"/>
      <c r="AD171" s="366"/>
      <c r="AE171" s="366"/>
      <c r="AF171" s="340"/>
      <c r="AG171" s="340"/>
      <c r="AH171" s="340"/>
      <c r="AI171" s="340"/>
      <c r="AJ171" s="421"/>
      <c r="AK171" s="318"/>
      <c r="AL171" s="693"/>
      <c r="AM171" s="665">
        <f>+AI166</f>
        <v>1</v>
      </c>
      <c r="AN171" s="666">
        <f>SIN(AM171*3.14159265358979/180)</f>
        <v>1.7452406437283494E-2</v>
      </c>
      <c r="AO171" s="667">
        <f>+AN171*((+B136*358.6)+119+119)</f>
        <v>10.412105680483332</v>
      </c>
      <c r="AP171" s="962">
        <f>+AO168+AO171</f>
        <v>385.56511331343427</v>
      </c>
      <c r="AQ171" s="254"/>
      <c r="AR171" s="348"/>
      <c r="AS171" s="348"/>
      <c r="AT171" s="348"/>
      <c r="AU171" s="348"/>
      <c r="AV171" s="348"/>
      <c r="AW171" s="348"/>
      <c r="AX171" s="348"/>
      <c r="AY171" s="422"/>
      <c r="AZ171" s="422"/>
      <c r="BA171" s="422"/>
      <c r="BB171" s="422"/>
      <c r="BD171" s="423"/>
      <c r="BM171" s="197"/>
      <c r="BN171" s="197"/>
      <c r="BO171" s="197"/>
    </row>
    <row r="172" spans="2:142" ht="31.5" customHeight="1" thickBot="1" x14ac:dyDescent="0.35">
      <c r="B172" s="23">
        <v>0</v>
      </c>
      <c r="D172" s="426" t="s">
        <v>307</v>
      </c>
      <c r="E172" s="1034"/>
      <c r="F172" s="421"/>
      <c r="G172" s="421"/>
      <c r="V172" s="340"/>
      <c r="W172" s="340"/>
      <c r="X172" s="340"/>
      <c r="Y172" s="340"/>
      <c r="Z172" s="340"/>
      <c r="AA172" s="340"/>
      <c r="AB172" s="422"/>
      <c r="AC172" s="366"/>
      <c r="AD172" s="366"/>
      <c r="AE172" s="366"/>
      <c r="AF172" s="340"/>
      <c r="AG172" s="340"/>
      <c r="AH172" s="340"/>
      <c r="AI172" s="340"/>
      <c r="AJ172" s="421"/>
      <c r="AK172" s="318"/>
      <c r="AL172" s="254"/>
      <c r="AM172" s="421"/>
      <c r="AN172" s="318"/>
      <c r="AO172" s="254"/>
      <c r="AP172" s="348"/>
      <c r="AQ172" s="254"/>
      <c r="AR172" s="348"/>
      <c r="AS172" s="348"/>
      <c r="AT172" s="348"/>
      <c r="AU172" s="348"/>
      <c r="AV172" s="348"/>
      <c r="AW172" s="348"/>
      <c r="AX172" s="348"/>
      <c r="AY172" s="422"/>
      <c r="AZ172" s="422"/>
      <c r="BA172" s="422"/>
      <c r="BB172" s="422"/>
      <c r="BD172" s="423"/>
      <c r="BM172" s="197"/>
      <c r="BN172" s="197"/>
      <c r="BO172" s="197"/>
    </row>
    <row r="173" spans="2:142" ht="21" thickBot="1" x14ac:dyDescent="0.35">
      <c r="D173" s="421"/>
      <c r="E173" s="421"/>
      <c r="F173" s="421"/>
      <c r="G173" s="421"/>
      <c r="V173" s="340"/>
      <c r="W173" s="340"/>
      <c r="X173" s="340"/>
      <c r="Y173" s="340"/>
      <c r="Z173" s="340"/>
      <c r="AA173" s="340"/>
      <c r="AB173" s="366"/>
      <c r="AC173" s="366"/>
      <c r="AD173" s="366"/>
      <c r="AE173" s="366"/>
      <c r="AF173" s="340"/>
      <c r="AG173" s="340"/>
      <c r="AH173" s="340"/>
      <c r="AI173" s="340"/>
      <c r="AJ173" s="421"/>
      <c r="AK173" s="318"/>
      <c r="AL173" s="254"/>
      <c r="AM173" s="421"/>
      <c r="AN173" s="318"/>
      <c r="AO173" s="254"/>
      <c r="AP173" s="348"/>
      <c r="AQ173" s="254"/>
      <c r="AR173" s="348"/>
      <c r="AS173" s="348"/>
      <c r="AT173" s="348"/>
      <c r="AU173" s="348"/>
      <c r="AV173" s="348"/>
      <c r="AW173" s="348"/>
      <c r="AX173" s="348"/>
      <c r="AY173" s="422"/>
      <c r="AZ173" s="422"/>
      <c r="BA173" s="422"/>
      <c r="BB173" s="422"/>
      <c r="BD173" s="423"/>
      <c r="BM173" s="197"/>
      <c r="BN173" s="197"/>
      <c r="BO173" s="197"/>
    </row>
    <row r="174" spans="2:142" ht="75.75" customHeight="1" thickBot="1" x14ac:dyDescent="0.35">
      <c r="B174" s="284" t="s">
        <v>28</v>
      </c>
      <c r="C174" s="315"/>
      <c r="D174" s="26"/>
      <c r="E174" s="1036"/>
      <c r="F174" s="26"/>
      <c r="G174" s="26"/>
      <c r="T174" s="170"/>
      <c r="AQ174" s="992" t="s">
        <v>235</v>
      </c>
      <c r="BD174" s="119"/>
      <c r="BM174" s="197"/>
      <c r="BN174" s="197"/>
      <c r="BO174" s="197"/>
      <c r="EK174" s="62"/>
      <c r="EL174" s="62"/>
    </row>
    <row r="175" spans="2:142" ht="27" thickBot="1" x14ac:dyDescent="0.35">
      <c r="B175" s="17">
        <v>1</v>
      </c>
      <c r="C175" s="199"/>
      <c r="D175" s="427" t="s">
        <v>59</v>
      </c>
      <c r="E175" s="277"/>
      <c r="F175" s="277"/>
      <c r="G175" s="277"/>
      <c r="H175" s="283" t="s">
        <v>76</v>
      </c>
      <c r="I175" s="283" t="s">
        <v>77</v>
      </c>
      <c r="J175" s="283" t="s">
        <v>78</v>
      </c>
      <c r="K175"/>
      <c r="L175"/>
      <c r="M175"/>
      <c r="N175"/>
      <c r="O175"/>
      <c r="P175" s="283" t="s">
        <v>79</v>
      </c>
      <c r="Q175" s="283" t="s">
        <v>80</v>
      </c>
      <c r="R175" s="277"/>
      <c r="S175" s="283" t="s">
        <v>81</v>
      </c>
      <c r="T175" s="317"/>
      <c r="W175" s="1117" t="s">
        <v>82</v>
      </c>
      <c r="X175" s="1117"/>
      <c r="Y175" s="1117"/>
      <c r="Z175" s="1117"/>
      <c r="AA175" s="1117"/>
      <c r="AZ175" s="318"/>
      <c r="BA175" s="1115" t="s">
        <v>46</v>
      </c>
      <c r="BB175" s="1116"/>
      <c r="BD175" s="119"/>
      <c r="BM175" s="197"/>
      <c r="BN175" s="197"/>
      <c r="BO175" s="197"/>
      <c r="EK175" s="62"/>
      <c r="EL175" s="62"/>
    </row>
    <row r="176" spans="2:142" ht="41" hidden="1" thickBot="1" x14ac:dyDescent="0.35">
      <c r="C176" s="319"/>
      <c r="D176" s="428" t="s">
        <v>13</v>
      </c>
      <c r="H176" s="288" t="s">
        <v>4</v>
      </c>
      <c r="I176" s="288" t="s">
        <v>1</v>
      </c>
      <c r="J176" s="292" t="s">
        <v>65</v>
      </c>
      <c r="K176" s="275" t="s">
        <v>2</v>
      </c>
      <c r="L176" s="275" t="s">
        <v>3</v>
      </c>
      <c r="M176" s="275" t="s">
        <v>8</v>
      </c>
      <c r="N176" s="275" t="s">
        <v>5</v>
      </c>
      <c r="O176" s="275" t="s">
        <v>6</v>
      </c>
      <c r="P176" s="275" t="s">
        <v>7</v>
      </c>
      <c r="Q176" s="275" t="s">
        <v>9</v>
      </c>
      <c r="R176" s="288" t="s">
        <v>10</v>
      </c>
      <c r="S176" s="275" t="s">
        <v>11</v>
      </c>
      <c r="T176" s="321" t="s">
        <v>12</v>
      </c>
      <c r="W176" s="288" t="s">
        <v>86</v>
      </c>
      <c r="X176" s="275" t="s">
        <v>83</v>
      </c>
      <c r="Y176" s="288" t="s">
        <v>87</v>
      </c>
      <c r="Z176" s="322" t="s">
        <v>84</v>
      </c>
      <c r="AA176" s="322" t="s">
        <v>85</v>
      </c>
      <c r="AC176" s="275" t="s">
        <v>88</v>
      </c>
      <c r="AD176" s="275"/>
      <c r="AE176" s="275"/>
      <c r="AF176" s="323"/>
      <c r="AG176" s="323"/>
      <c r="AH176" s="323"/>
      <c r="AI176" s="323"/>
      <c r="AJ176" s="323"/>
      <c r="AK176" s="323"/>
      <c r="AL176" s="323"/>
      <c r="AM176" s="323"/>
      <c r="AN176" s="323"/>
      <c r="AO176" s="323"/>
      <c r="AP176" s="323" t="s">
        <v>115</v>
      </c>
      <c r="AQ176" s="323"/>
      <c r="AR176" s="323" t="s">
        <v>115</v>
      </c>
      <c r="AS176" s="323"/>
      <c r="AT176" s="323"/>
      <c r="AU176" s="323" t="s">
        <v>115</v>
      </c>
      <c r="AV176" s="323"/>
      <c r="AW176" s="323"/>
      <c r="AX176" s="323"/>
      <c r="AY176" s="318"/>
      <c r="AZ176" s="318"/>
      <c r="BA176" s="323"/>
      <c r="BB176" s="323"/>
      <c r="BC176" s="212"/>
      <c r="BD176" s="119"/>
      <c r="BM176" s="197"/>
      <c r="BN176" s="197"/>
      <c r="BO176" s="197"/>
      <c r="EK176" s="62"/>
      <c r="EL176" s="62"/>
    </row>
    <row r="177" spans="2:142" ht="44.25" customHeight="1" thickBot="1" x14ac:dyDescent="0.35">
      <c r="B177" s="324"/>
      <c r="C177" s="325"/>
      <c r="D177" s="429" t="s">
        <v>20</v>
      </c>
      <c r="E177" s="26"/>
      <c r="F177" s="277"/>
      <c r="G177" s="221"/>
      <c r="H177" s="288"/>
      <c r="I177" s="288"/>
      <c r="J177" s="292"/>
      <c r="K177" s="275"/>
      <c r="L177" s="275"/>
      <c r="M177" s="275"/>
      <c r="N177" s="275"/>
      <c r="O177" s="275"/>
      <c r="P177" s="275"/>
      <c r="Q177" s="275"/>
      <c r="R177" s="288"/>
      <c r="S177" s="275"/>
      <c r="T177" s="321"/>
      <c r="V177" s="323"/>
      <c r="W177" s="323"/>
      <c r="X177" s="323"/>
      <c r="Y177" s="323"/>
      <c r="Z177" s="323"/>
      <c r="AA177" s="323"/>
      <c r="AB177" s="323"/>
      <c r="AC177" s="326">
        <f>SUM(AC178:AC189)</f>
        <v>347.72341370919969</v>
      </c>
      <c r="AD177" s="327"/>
      <c r="AE177" s="327"/>
      <c r="AF177" s="323" t="s">
        <v>36</v>
      </c>
      <c r="AG177" s="430" t="s">
        <v>90</v>
      </c>
      <c r="AH177" s="328" t="s">
        <v>29</v>
      </c>
      <c r="AI177" s="328"/>
      <c r="AJ177" s="290" t="s">
        <v>61</v>
      </c>
      <c r="AK177" s="329" t="s">
        <v>30</v>
      </c>
      <c r="AL177" s="290" t="s">
        <v>31</v>
      </c>
      <c r="AM177" s="291" t="s">
        <v>62</v>
      </c>
      <c r="AN177" s="330" t="s">
        <v>32</v>
      </c>
      <c r="AO177" s="290" t="s">
        <v>33</v>
      </c>
      <c r="AP177" s="331" t="s">
        <v>45</v>
      </c>
      <c r="AQ177" s="993" t="s">
        <v>250</v>
      </c>
      <c r="AR177" s="331" t="s">
        <v>297</v>
      </c>
      <c r="AS177" s="323" t="s">
        <v>44</v>
      </c>
      <c r="AT177" s="323" t="s">
        <v>64</v>
      </c>
      <c r="AU177" s="331" t="s">
        <v>63</v>
      </c>
      <c r="AV177" s="431"/>
      <c r="AW177" s="332" t="s">
        <v>39</v>
      </c>
      <c r="AX177" s="332" t="s">
        <v>40</v>
      </c>
      <c r="AY177" s="333" t="s">
        <v>21</v>
      </c>
      <c r="AZ177" s="333" t="s">
        <v>22</v>
      </c>
      <c r="BA177" s="334" t="s">
        <v>21</v>
      </c>
      <c r="BB177" s="334" t="s">
        <v>22</v>
      </c>
      <c r="BD177" s="119"/>
      <c r="BM177" s="197"/>
      <c r="BN177" s="197"/>
      <c r="BO177" s="197"/>
      <c r="EK177" s="62"/>
      <c r="EL177" s="62"/>
    </row>
    <row r="178" spans="2:142" ht="23" thickBot="1" x14ac:dyDescent="0.35">
      <c r="B178" s="232">
        <v>1</v>
      </c>
      <c r="C178" s="233">
        <f>+B172+AI166+D178</f>
        <v>1</v>
      </c>
      <c r="D178" s="16">
        <v>0</v>
      </c>
      <c r="E178" s="234" t="s">
        <v>72</v>
      </c>
      <c r="F178" s="235"/>
      <c r="G178" s="235"/>
      <c r="H178" s="403">
        <v>421.92079999999999</v>
      </c>
      <c r="I178" s="404">
        <v>35.4982179</v>
      </c>
      <c r="J178" s="405">
        <f>+I178-C178</f>
        <v>34.4982179</v>
      </c>
      <c r="K178" s="405"/>
      <c r="L178" s="405"/>
      <c r="M178" s="405"/>
      <c r="N178" s="405"/>
      <c r="O178" s="405"/>
      <c r="P178" s="405">
        <f>COS(J178*3.14159265358979/180)</f>
        <v>0.82414380544689836</v>
      </c>
      <c r="Q178" s="405">
        <f>+P178*H178</f>
        <v>347.72341370919969</v>
      </c>
      <c r="R178" s="406">
        <v>343.5</v>
      </c>
      <c r="S178" s="405">
        <f>+Q178</f>
        <v>347.72341370919969</v>
      </c>
      <c r="T178" s="407">
        <f t="shared" ref="T178:T189" si="41">+S178</f>
        <v>347.72341370919969</v>
      </c>
      <c r="U178" s="359"/>
      <c r="V178" s="408">
        <f>IF(B178&lt;($B$175+1),T178,0)</f>
        <v>347.72341370919969</v>
      </c>
      <c r="W178" s="409">
        <v>35.4982179</v>
      </c>
      <c r="X178" s="408">
        <f>+W178+AI190</f>
        <v>36.4982179</v>
      </c>
      <c r="Y178" s="409">
        <v>421.92079999999999</v>
      </c>
      <c r="Z178" s="322">
        <f>+COS(X178*3.14159265358979/180)*Y178</f>
        <v>339.1717355426938</v>
      </c>
      <c r="AA178" s="410">
        <f>+AC177-Z178</f>
        <v>8.5516781665058943</v>
      </c>
      <c r="AB178" s="376"/>
      <c r="AC178" s="411">
        <f>IF(AD178=1,AF178)</f>
        <v>347.72341370919969</v>
      </c>
      <c r="AD178" s="411">
        <f>MAX(AE$178:AE$189)</f>
        <v>1</v>
      </c>
      <c r="AE178" s="411">
        <f>IF(V178=0,0,1)</f>
        <v>1</v>
      </c>
      <c r="AF178" s="408">
        <f>SUM(V178:V189)/($B$175)</f>
        <v>347.72341370919969</v>
      </c>
      <c r="AG178" s="408">
        <f>+AF178+$AA$139</f>
        <v>352.4731100138377</v>
      </c>
      <c r="AH178" s="412">
        <f>+D178+C178</f>
        <v>1</v>
      </c>
      <c r="AI178" s="413">
        <f>IF(B178&lt;($B$175+1),AH178)</f>
        <v>1</v>
      </c>
      <c r="AJ178" s="251">
        <f>54.5017821+AH178</f>
        <v>55.5017821</v>
      </c>
      <c r="AK178" s="414">
        <f>SIN(AJ178*3.14159265358979/180)</f>
        <v>0.82414380544689736</v>
      </c>
      <c r="AL178" s="252">
        <f>+AK178*421.92</f>
        <v>347.72275439415495</v>
      </c>
      <c r="AM178" s="251">
        <f>58.7344156-AH178</f>
        <v>57.734415599999998</v>
      </c>
      <c r="AN178" s="415">
        <f>SIN(AM178*3.14159265358979/180)</f>
        <v>0.84558264775702863</v>
      </c>
      <c r="AO178" s="253">
        <f>+AN178*472.06</f>
        <v>399.16574470018293</v>
      </c>
      <c r="AP178" s="416">
        <f t="shared" ref="AP178:AP189" si="42">+((AF178*AQ178)+($AQ$202*($AF$202+$AA$178)))/AR178</f>
        <v>224.96590204498011</v>
      </c>
      <c r="AQ178" s="906">
        <f>C10*B175</f>
        <v>57</v>
      </c>
      <c r="AR178" s="416">
        <f>+AQ178+$AQ$202+31</f>
        <v>117.3</v>
      </c>
      <c r="AS178" s="417">
        <f>+AO178+AL178</f>
        <v>746.88849909433793</v>
      </c>
      <c r="AT178" s="418">
        <f>+V178-AL178</f>
        <v>6.5931504474292524E-4</v>
      </c>
      <c r="AU178" s="419">
        <f>+AP178-AT178</f>
        <v>224.96524272993537</v>
      </c>
      <c r="AV178" s="418"/>
      <c r="AW178" s="420">
        <f>+((AS178-AU178)/AS178)*AR178</f>
        <v>81.968858866859648</v>
      </c>
      <c r="AX178" s="420">
        <f>+(AU178/AS178)*AR178</f>
        <v>35.331141133140342</v>
      </c>
      <c r="AY178" s="351">
        <f>2*$C$19/AW178</f>
        <v>141.51715859362693</v>
      </c>
      <c r="AZ178" s="351">
        <f>2*$D$19/AX178</f>
        <v>328.3222570221285</v>
      </c>
      <c r="BA178" s="354">
        <f>ABS(AY178)</f>
        <v>141.51715859362693</v>
      </c>
      <c r="BB178" s="354">
        <f>ABS(AZ178)</f>
        <v>328.3222570221285</v>
      </c>
      <c r="BC178" s="74"/>
      <c r="BD178" s="119"/>
      <c r="BM178" s="197"/>
      <c r="BN178" s="197"/>
      <c r="BO178" s="197"/>
      <c r="EK178" s="62"/>
      <c r="EL178" s="62"/>
    </row>
    <row r="179" spans="2:142" ht="23" thickBot="1" x14ac:dyDescent="0.35">
      <c r="B179" s="244">
        <v>2</v>
      </c>
      <c r="C179" s="245"/>
      <c r="D179" s="16">
        <v>0</v>
      </c>
      <c r="E179" s="246" t="s">
        <v>72</v>
      </c>
      <c r="F179" s="235"/>
      <c r="G179" s="235"/>
      <c r="H179" s="403">
        <v>472.06</v>
      </c>
      <c r="I179" s="404">
        <v>62.531168700000002</v>
      </c>
      <c r="J179" s="374">
        <f>+I179+D179</f>
        <v>62.531168700000002</v>
      </c>
      <c r="K179" s="374">
        <f t="shared" ref="K179:K189" si="43">+J179/2</f>
        <v>31.265584350000001</v>
      </c>
      <c r="L179" s="374">
        <f t="shared" ref="L179:L189" si="44">SIN(K179*3.14159265358979/180)</f>
        <v>0.51900577347391186</v>
      </c>
      <c r="M179" s="374">
        <f t="shared" ref="M179:M189" si="45">+L179*H179</f>
        <v>245.00186542609484</v>
      </c>
      <c r="N179" s="374">
        <f t="shared" ref="N179:N189" si="46">+M179*2</f>
        <v>490.00373085218968</v>
      </c>
      <c r="O179" s="374">
        <f>+C178+(D179/2)</f>
        <v>1</v>
      </c>
      <c r="P179" s="374">
        <f t="shared" ref="P179:P189" si="47">SIN(O179*3.14159265358979/180)</f>
        <v>1.7452406437283494E-2</v>
      </c>
      <c r="Q179" s="374">
        <f t="shared" ref="Q179:Q189" si="48">+P179*N179</f>
        <v>8.5517442666176837</v>
      </c>
      <c r="R179" s="374">
        <f t="shared" ref="R179:R189" si="49">+T178</f>
        <v>347.72341370919969</v>
      </c>
      <c r="S179" s="374">
        <f>+R179+Q179</f>
        <v>356.27515797581736</v>
      </c>
      <c r="T179" s="375">
        <f t="shared" si="41"/>
        <v>356.27515797581736</v>
      </c>
      <c r="V179" s="340">
        <f t="shared" ref="V179:V189" si="50">IF(B179&lt;($B$175+1),T179,0)</f>
        <v>0</v>
      </c>
      <c r="W179" s="340"/>
      <c r="X179" s="340"/>
      <c r="Y179" s="340"/>
      <c r="Z179" s="340"/>
      <c r="AA179" s="340"/>
      <c r="AB179" s="376"/>
      <c r="AC179" s="411" t="b">
        <f>IF(AD179=2,AF179)</f>
        <v>0</v>
      </c>
      <c r="AD179" s="411">
        <f t="shared" ref="AD179:AD189" si="51">MAX(AE$178:AE$189)</f>
        <v>1</v>
      </c>
      <c r="AE179" s="411">
        <f>IF(V179=0,0,2)</f>
        <v>0</v>
      </c>
      <c r="AF179" s="340" t="e">
        <f>SUM(V179:V189)/($B$175-B178)</f>
        <v>#DIV/0!</v>
      </c>
      <c r="AG179" s="340"/>
      <c r="AH179" s="353">
        <f>SUM(D179)+$C$178</f>
        <v>1</v>
      </c>
      <c r="AI179" s="413" t="b">
        <f t="shared" ref="AI179:AI189" si="52">IF(B179&lt;($B$175+1),AH179)</f>
        <v>0</v>
      </c>
      <c r="AJ179" s="251">
        <f t="shared" ref="AJ179:AJ189" si="53">54.5017821+AH179</f>
        <v>55.5017821</v>
      </c>
      <c r="AK179" s="344">
        <f>SIN(AJ179*3.14159265358979/180)</f>
        <v>0.82414380544689736</v>
      </c>
      <c r="AL179" s="252">
        <f t="shared" ref="AL179:AL189" si="54">+AK179*421.92</f>
        <v>347.72275439415495</v>
      </c>
      <c r="AM179" s="251">
        <f t="shared" ref="AM179:AM189" si="55">58.7344156-AH179</f>
        <v>57.734415599999998</v>
      </c>
      <c r="AN179" s="345">
        <f t="shared" ref="AN179:AN189" si="56">SIN(AM179*3.14159265358979/180)</f>
        <v>0.84558264775702863</v>
      </c>
      <c r="AO179" s="253">
        <f t="shared" ref="AO179:AO189" si="57">+AN179*472.06</f>
        <v>399.16574470018293</v>
      </c>
      <c r="AP179" s="416" t="e">
        <f t="shared" si="42"/>
        <v>#DIV/0!</v>
      </c>
      <c r="AQ179" s="944">
        <f t="shared" ref="AQ179:AQ189" si="58">$C$10*($B$175-B178)</f>
        <v>0</v>
      </c>
      <c r="AR179" s="346">
        <f>+AQ179+$AQ$202+31</f>
        <v>60.3</v>
      </c>
      <c r="AS179" s="347">
        <f t="shared" ref="AS179:AS189" si="59">+AO179+AL179</f>
        <v>746.88849909433793</v>
      </c>
      <c r="AT179" s="348">
        <f t="shared" ref="AT179:AT189" si="60">+V179-AL179</f>
        <v>-347.72275439415495</v>
      </c>
      <c r="AU179" s="349" t="e">
        <f t="shared" ref="AU179:AU189" si="61">+AP179-AT179</f>
        <v>#DIV/0!</v>
      </c>
      <c r="AV179" s="348"/>
      <c r="AW179" s="350" t="e">
        <f t="shared" ref="AW179:AW189" si="62">+((AS179-AU179)/AS179)*AR179</f>
        <v>#DIV/0!</v>
      </c>
      <c r="AX179" s="350" t="e">
        <f t="shared" ref="AX179:AX189" si="63">+(AU179/AS179)*AR179</f>
        <v>#DIV/0!</v>
      </c>
      <c r="AY179" s="351" t="e">
        <f t="shared" ref="AY179:AY189" si="64">2*$C$19/AW179</f>
        <v>#DIV/0!</v>
      </c>
      <c r="AZ179" s="351" t="e">
        <f t="shared" ref="AZ179:AZ189" si="65">2*$D$19/AX179</f>
        <v>#DIV/0!</v>
      </c>
      <c r="BA179" s="354" t="e">
        <f t="shared" ref="BA179:BB189" si="66">ABS(AY179)</f>
        <v>#DIV/0!</v>
      </c>
      <c r="BB179" s="354" t="e">
        <f t="shared" si="66"/>
        <v>#DIV/0!</v>
      </c>
      <c r="BD179" s="119"/>
      <c r="BM179" s="197"/>
      <c r="BN179" s="197"/>
      <c r="BO179" s="197"/>
      <c r="EK179" s="62"/>
      <c r="EL179" s="62"/>
    </row>
    <row r="180" spans="2:142" ht="23" thickBot="1" x14ac:dyDescent="0.35">
      <c r="B180" s="244">
        <v>3</v>
      </c>
      <c r="C180" s="245"/>
      <c r="D180" s="16">
        <v>0</v>
      </c>
      <c r="E180" s="246" t="s">
        <v>72</v>
      </c>
      <c r="F180" s="235"/>
      <c r="G180" s="235"/>
      <c r="H180" s="403">
        <v>472.06</v>
      </c>
      <c r="I180" s="404">
        <v>62.531168700000002</v>
      </c>
      <c r="J180" s="374">
        <f t="shared" ref="J180:J189" si="67">+I180+D180</f>
        <v>62.531168700000002</v>
      </c>
      <c r="K180" s="374">
        <f t="shared" si="43"/>
        <v>31.265584350000001</v>
      </c>
      <c r="L180" s="374">
        <f t="shared" si="44"/>
        <v>0.51900577347391186</v>
      </c>
      <c r="M180" s="374">
        <f t="shared" si="45"/>
        <v>245.00186542609484</v>
      </c>
      <c r="N180" s="374">
        <f t="shared" si="46"/>
        <v>490.00373085218968</v>
      </c>
      <c r="O180" s="374">
        <f>+C178+D179+(D180/2)</f>
        <v>1</v>
      </c>
      <c r="P180" s="374">
        <f t="shared" si="47"/>
        <v>1.7452406437283494E-2</v>
      </c>
      <c r="Q180" s="374">
        <f t="shared" si="48"/>
        <v>8.5517442666176837</v>
      </c>
      <c r="R180" s="374">
        <f t="shared" si="49"/>
        <v>356.27515797581736</v>
      </c>
      <c r="S180" s="374">
        <f t="shared" ref="S180:S189" si="68">+S179+Q180</f>
        <v>364.82690224243504</v>
      </c>
      <c r="T180" s="375">
        <f t="shared" si="41"/>
        <v>364.82690224243504</v>
      </c>
      <c r="V180" s="340">
        <f t="shared" si="50"/>
        <v>0</v>
      </c>
      <c r="W180" s="340"/>
      <c r="X180" s="340"/>
      <c r="Y180" s="340"/>
      <c r="Z180" s="340"/>
      <c r="AA180" s="340"/>
      <c r="AB180" s="376"/>
      <c r="AC180" s="411" t="b">
        <f>IF(AD180=3,AF180)</f>
        <v>0</v>
      </c>
      <c r="AD180" s="411">
        <f t="shared" si="51"/>
        <v>1</v>
      </c>
      <c r="AE180" s="411">
        <f>IF(V180=0,0,3)</f>
        <v>0</v>
      </c>
      <c r="AF180" s="340">
        <f>SUM(V180:V189)/($B$175-B179)</f>
        <v>0</v>
      </c>
      <c r="AG180" s="340"/>
      <c r="AH180" s="353">
        <f>SUM(D179:D180)+$C$178</f>
        <v>1</v>
      </c>
      <c r="AI180" s="413" t="b">
        <f t="shared" si="52"/>
        <v>0</v>
      </c>
      <c r="AJ180" s="251">
        <f t="shared" si="53"/>
        <v>55.5017821</v>
      </c>
      <c r="AK180" s="344">
        <f t="shared" ref="AK180:AK189" si="69">SIN(AJ180*3.14159265358979/180)</f>
        <v>0.82414380544689736</v>
      </c>
      <c r="AL180" s="252">
        <f t="shared" si="54"/>
        <v>347.72275439415495</v>
      </c>
      <c r="AM180" s="251">
        <f t="shared" si="55"/>
        <v>57.734415599999998</v>
      </c>
      <c r="AN180" s="345">
        <f t="shared" si="56"/>
        <v>0.84558264775702863</v>
      </c>
      <c r="AO180" s="253">
        <f t="shared" si="57"/>
        <v>399.16574470018293</v>
      </c>
      <c r="AP180" s="416">
        <f t="shared" si="42"/>
        <v>1990.3835540762982</v>
      </c>
      <c r="AQ180" s="944">
        <f t="shared" si="58"/>
        <v>-57</v>
      </c>
      <c r="AR180" s="346">
        <f t="shared" ref="AR180:AR189" si="70">+AQ180+$AQ$202+31</f>
        <v>3.3000000000000007</v>
      </c>
      <c r="AS180" s="347">
        <f t="shared" si="59"/>
        <v>746.88849909433793</v>
      </c>
      <c r="AT180" s="348">
        <f t="shared" si="60"/>
        <v>-347.72275439415495</v>
      </c>
      <c r="AU180" s="349">
        <f t="shared" si="61"/>
        <v>2338.1063084704533</v>
      </c>
      <c r="AV180" s="348"/>
      <c r="AW180" s="350">
        <f t="shared" si="62"/>
        <v>-7.0305256772710543</v>
      </c>
      <c r="AX180" s="350">
        <f t="shared" si="63"/>
        <v>10.330525677271055</v>
      </c>
      <c r="AY180" s="351">
        <f t="shared" si="64"/>
        <v>-1649.9477467953175</v>
      </c>
      <c r="AZ180" s="351">
        <f t="shared" si="65"/>
        <v>1122.8857429319407</v>
      </c>
      <c r="BA180" s="354">
        <f t="shared" si="66"/>
        <v>1649.9477467953175</v>
      </c>
      <c r="BB180" s="354">
        <f t="shared" si="66"/>
        <v>1122.8857429319407</v>
      </c>
      <c r="BD180" s="119"/>
      <c r="BE180" s="119"/>
      <c r="BF180" s="119"/>
      <c r="BG180" s="259" t="s">
        <v>107</v>
      </c>
      <c r="BH180" s="119"/>
      <c r="BI180" s="119"/>
      <c r="BJ180" s="119"/>
      <c r="BK180" s="119"/>
      <c r="BL180" s="119"/>
      <c r="BM180" s="197"/>
      <c r="BN180" s="197"/>
      <c r="BO180" s="197"/>
      <c r="EK180" s="62"/>
      <c r="EL180" s="62"/>
    </row>
    <row r="181" spans="2:142" ht="23" thickBot="1" x14ac:dyDescent="0.35">
      <c r="B181" s="244">
        <v>4</v>
      </c>
      <c r="C181" s="245"/>
      <c r="D181" s="16">
        <v>0</v>
      </c>
      <c r="E181" s="246" t="s">
        <v>72</v>
      </c>
      <c r="F181" s="235"/>
      <c r="G181" s="235"/>
      <c r="H181" s="403">
        <v>472.06</v>
      </c>
      <c r="I181" s="404">
        <v>62.531168700000002</v>
      </c>
      <c r="J181" s="374">
        <f t="shared" si="67"/>
        <v>62.531168700000002</v>
      </c>
      <c r="K181" s="374">
        <f t="shared" si="43"/>
        <v>31.265584350000001</v>
      </c>
      <c r="L181" s="374">
        <f t="shared" si="44"/>
        <v>0.51900577347391186</v>
      </c>
      <c r="M181" s="374">
        <f t="shared" si="45"/>
        <v>245.00186542609484</v>
      </c>
      <c r="N181" s="374">
        <f t="shared" si="46"/>
        <v>490.00373085218968</v>
      </c>
      <c r="O181" s="374">
        <f>+C178+D179+D180+(D181/2)</f>
        <v>1</v>
      </c>
      <c r="P181" s="374">
        <f t="shared" si="47"/>
        <v>1.7452406437283494E-2</v>
      </c>
      <c r="Q181" s="374">
        <f t="shared" si="48"/>
        <v>8.5517442666176837</v>
      </c>
      <c r="R181" s="374">
        <f t="shared" si="49"/>
        <v>364.82690224243504</v>
      </c>
      <c r="S181" s="374">
        <f t="shared" si="68"/>
        <v>373.37864650905271</v>
      </c>
      <c r="T181" s="375">
        <f t="shared" si="41"/>
        <v>373.37864650905271</v>
      </c>
      <c r="V181" s="340">
        <f t="shared" si="50"/>
        <v>0</v>
      </c>
      <c r="W181" s="340"/>
      <c r="X181" s="340"/>
      <c r="Y181" s="340"/>
      <c r="Z181" s="340"/>
      <c r="AA181" s="340"/>
      <c r="AB181" s="376"/>
      <c r="AC181" s="411" t="b">
        <f>IF(AD181=4,AF181)</f>
        <v>0</v>
      </c>
      <c r="AD181" s="411">
        <f t="shared" si="51"/>
        <v>1</v>
      </c>
      <c r="AE181" s="411">
        <f>IF(V181=0,0,4)</f>
        <v>0</v>
      </c>
      <c r="AF181" s="340">
        <f>SUM(V181:V189)/($B$175-B180)</f>
        <v>0</v>
      </c>
      <c r="AG181" s="340"/>
      <c r="AH181" s="353">
        <f>SUM(D179:D181)+$C$178</f>
        <v>1</v>
      </c>
      <c r="AI181" s="413" t="b">
        <f t="shared" si="52"/>
        <v>0</v>
      </c>
      <c r="AJ181" s="251">
        <f t="shared" si="53"/>
        <v>55.5017821</v>
      </c>
      <c r="AK181" s="344">
        <f t="shared" si="69"/>
        <v>0.82414380544689736</v>
      </c>
      <c r="AL181" s="252">
        <f t="shared" si="54"/>
        <v>347.72275439415495</v>
      </c>
      <c r="AM181" s="251">
        <f t="shared" si="55"/>
        <v>57.734415599999998</v>
      </c>
      <c r="AN181" s="345">
        <f t="shared" si="56"/>
        <v>0.84558264775702863</v>
      </c>
      <c r="AO181" s="253">
        <f t="shared" si="57"/>
        <v>399.16574470018293</v>
      </c>
      <c r="AP181" s="416">
        <f t="shared" si="42"/>
        <v>-122.31407315552673</v>
      </c>
      <c r="AQ181" s="944">
        <f t="shared" si="58"/>
        <v>-114</v>
      </c>
      <c r="AR181" s="346">
        <f t="shared" si="70"/>
        <v>-53.7</v>
      </c>
      <c r="AS181" s="347">
        <f t="shared" si="59"/>
        <v>746.88849909433793</v>
      </c>
      <c r="AT181" s="348">
        <f t="shared" si="60"/>
        <v>-347.72275439415495</v>
      </c>
      <c r="AU181" s="349">
        <f t="shared" si="61"/>
        <v>225.40868123862822</v>
      </c>
      <c r="AV181" s="348"/>
      <c r="AW181" s="350">
        <f t="shared" si="62"/>
        <v>-37.493503050064447</v>
      </c>
      <c r="AX181" s="350">
        <f t="shared" si="63"/>
        <v>-16.206496949935559</v>
      </c>
      <c r="AY181" s="351">
        <f t="shared" si="64"/>
        <v>-309.38693523810548</v>
      </c>
      <c r="AZ181" s="351">
        <f t="shared" si="65"/>
        <v>-715.76232888786762</v>
      </c>
      <c r="BA181" s="354">
        <f t="shared" si="66"/>
        <v>309.38693523810548</v>
      </c>
      <c r="BB181" s="354">
        <f t="shared" si="66"/>
        <v>715.76232888786762</v>
      </c>
      <c r="BD181" s="119"/>
      <c r="BE181" s="260">
        <v>1</v>
      </c>
      <c r="BF181" s="261">
        <v>-473</v>
      </c>
      <c r="BG181" s="262">
        <f>+COS(($B$132*-1)*3.14159265358979/180)*BF181</f>
        <v>-473</v>
      </c>
      <c r="BH181" s="263">
        <f t="shared" ref="BH181:BH217" si="71">+BG181-D$3</f>
        <v>-700.68307825869203</v>
      </c>
      <c r="BI181" s="264">
        <f t="shared" ref="BI181:BI217" si="72">ABS(BH181)</f>
        <v>700.68307825869203</v>
      </c>
      <c r="BJ181" s="265">
        <f>MIN(BI181:BI217)</f>
        <v>12.683078258692063</v>
      </c>
      <c r="BK181" s="264" t="b">
        <f>IF(BJ181=BI181,BE181)</f>
        <v>0</v>
      </c>
      <c r="BL181" s="266">
        <v>1</v>
      </c>
      <c r="BM181" s="197"/>
      <c r="BN181" s="197"/>
      <c r="BO181" s="197"/>
      <c r="EK181" s="62"/>
      <c r="EL181" s="62"/>
    </row>
    <row r="182" spans="2:142" ht="23" thickBot="1" x14ac:dyDescent="0.35">
      <c r="B182" s="244">
        <v>5</v>
      </c>
      <c r="C182" s="245"/>
      <c r="D182" s="16">
        <v>0</v>
      </c>
      <c r="E182" s="246" t="s">
        <v>72</v>
      </c>
      <c r="F182" s="235"/>
      <c r="G182" s="235"/>
      <c r="H182" s="403">
        <v>472.06</v>
      </c>
      <c r="I182" s="404">
        <v>62.531168700000002</v>
      </c>
      <c r="J182" s="374">
        <f t="shared" si="67"/>
        <v>62.531168700000002</v>
      </c>
      <c r="K182" s="374">
        <f t="shared" si="43"/>
        <v>31.265584350000001</v>
      </c>
      <c r="L182" s="374">
        <f t="shared" si="44"/>
        <v>0.51900577347391186</v>
      </c>
      <c r="M182" s="374">
        <f t="shared" si="45"/>
        <v>245.00186542609484</v>
      </c>
      <c r="N182" s="374">
        <f t="shared" si="46"/>
        <v>490.00373085218968</v>
      </c>
      <c r="O182" s="374">
        <f>+C178+D179+D180+D181+(D182/2)</f>
        <v>1</v>
      </c>
      <c r="P182" s="374">
        <f t="shared" si="47"/>
        <v>1.7452406437283494E-2</v>
      </c>
      <c r="Q182" s="374">
        <f t="shared" si="48"/>
        <v>8.5517442666176837</v>
      </c>
      <c r="R182" s="374">
        <f t="shared" si="49"/>
        <v>373.37864650905271</v>
      </c>
      <c r="S182" s="374">
        <f t="shared" si="68"/>
        <v>381.93039077567039</v>
      </c>
      <c r="T182" s="375">
        <f t="shared" si="41"/>
        <v>381.93039077567039</v>
      </c>
      <c r="V182" s="340">
        <f t="shared" si="50"/>
        <v>0</v>
      </c>
      <c r="W182" s="340"/>
      <c r="X182" s="340"/>
      <c r="Y182" s="340"/>
      <c r="Z182" s="340"/>
      <c r="AA182" s="340"/>
      <c r="AB182" s="376"/>
      <c r="AC182" s="411" t="b">
        <f>IF(AD182=5,AF182)</f>
        <v>0</v>
      </c>
      <c r="AD182" s="411">
        <f t="shared" si="51"/>
        <v>1</v>
      </c>
      <c r="AE182" s="411">
        <f>IF(V182=0,0,5)</f>
        <v>0</v>
      </c>
      <c r="AF182" s="340">
        <f>SUM(V182:V189)/($B$175-B181)</f>
        <v>0</v>
      </c>
      <c r="AG182" s="340"/>
      <c r="AH182" s="353">
        <f>SUM(D179:D182)+$C$178</f>
        <v>1</v>
      </c>
      <c r="AI182" s="413" t="b">
        <f t="shared" si="52"/>
        <v>0</v>
      </c>
      <c r="AJ182" s="251">
        <f t="shared" si="53"/>
        <v>55.5017821</v>
      </c>
      <c r="AK182" s="344">
        <f t="shared" si="69"/>
        <v>0.82414380544689736</v>
      </c>
      <c r="AL182" s="252">
        <f t="shared" si="54"/>
        <v>347.72275439415495</v>
      </c>
      <c r="AM182" s="251">
        <f t="shared" si="55"/>
        <v>57.734415599999998</v>
      </c>
      <c r="AN182" s="345">
        <f t="shared" si="56"/>
        <v>0.84558264775702863</v>
      </c>
      <c r="AO182" s="253">
        <f t="shared" si="57"/>
        <v>399.16574470018293</v>
      </c>
      <c r="AP182" s="416">
        <f t="shared" si="42"/>
        <v>-59.333927086285328</v>
      </c>
      <c r="AQ182" s="944">
        <f t="shared" si="58"/>
        <v>-171</v>
      </c>
      <c r="AR182" s="346">
        <f t="shared" si="70"/>
        <v>-110.69999999999999</v>
      </c>
      <c r="AS182" s="347">
        <f t="shared" si="59"/>
        <v>746.88849909433793</v>
      </c>
      <c r="AT182" s="348">
        <f t="shared" si="60"/>
        <v>-347.72275439415495</v>
      </c>
      <c r="AU182" s="349">
        <f t="shared" si="61"/>
        <v>288.38882730786963</v>
      </c>
      <c r="AV182" s="348"/>
      <c r="AW182" s="350">
        <f t="shared" si="62"/>
        <v>-67.956480422857823</v>
      </c>
      <c r="AX182" s="350">
        <f t="shared" si="63"/>
        <v>-42.743519577142166</v>
      </c>
      <c r="AY182" s="351">
        <f t="shared" si="64"/>
        <v>-170.69748062023277</v>
      </c>
      <c r="AZ182" s="351">
        <f t="shared" si="65"/>
        <v>-271.38616835388774</v>
      </c>
      <c r="BA182" s="354">
        <f t="shared" si="66"/>
        <v>170.69748062023277</v>
      </c>
      <c r="BB182" s="354">
        <f t="shared" si="66"/>
        <v>271.38616835388774</v>
      </c>
      <c r="BD182" s="119"/>
      <c r="BE182" s="260">
        <v>2</v>
      </c>
      <c r="BF182" s="261">
        <f>+BF181+43</f>
        <v>-430</v>
      </c>
      <c r="BG182" s="31">
        <f>+BG181+$E$2</f>
        <v>-430</v>
      </c>
      <c r="BH182" s="263">
        <f t="shared" si="71"/>
        <v>-657.68307825869203</v>
      </c>
      <c r="BI182" s="264">
        <f t="shared" si="72"/>
        <v>657.68307825869203</v>
      </c>
      <c r="BJ182" s="264">
        <f>+BJ181</f>
        <v>12.683078258692063</v>
      </c>
      <c r="BK182" s="264" t="b">
        <f t="shared" ref="BK182:BK217" si="73">IF(BJ182=BI182,BE182)</f>
        <v>0</v>
      </c>
      <c r="BL182" s="266">
        <v>2</v>
      </c>
      <c r="BM182" s="197"/>
      <c r="BN182" s="197"/>
      <c r="BO182" s="197"/>
      <c r="EK182" s="62"/>
      <c r="EL182" s="62"/>
    </row>
    <row r="183" spans="2:142" ht="23" thickBot="1" x14ac:dyDescent="0.35">
      <c r="B183" s="244">
        <v>6</v>
      </c>
      <c r="C183" s="245"/>
      <c r="D183" s="16">
        <v>0</v>
      </c>
      <c r="E183" s="246" t="s">
        <v>72</v>
      </c>
      <c r="F183" s="235"/>
      <c r="G183" s="235"/>
      <c r="H183" s="403">
        <v>472.06</v>
      </c>
      <c r="I183" s="404">
        <v>62.531168700000002</v>
      </c>
      <c r="J183" s="374">
        <f t="shared" si="67"/>
        <v>62.531168700000002</v>
      </c>
      <c r="K183" s="374">
        <f t="shared" si="43"/>
        <v>31.265584350000001</v>
      </c>
      <c r="L183" s="374">
        <f t="shared" si="44"/>
        <v>0.51900577347391186</v>
      </c>
      <c r="M183" s="374">
        <f t="shared" si="45"/>
        <v>245.00186542609484</v>
      </c>
      <c r="N183" s="374">
        <f t="shared" si="46"/>
        <v>490.00373085218968</v>
      </c>
      <c r="O183" s="374">
        <f>+C178+D179+D180+D181+D182+(D183/2)</f>
        <v>1</v>
      </c>
      <c r="P183" s="374">
        <f t="shared" si="47"/>
        <v>1.7452406437283494E-2</v>
      </c>
      <c r="Q183" s="374">
        <f t="shared" si="48"/>
        <v>8.5517442666176837</v>
      </c>
      <c r="R183" s="374">
        <f t="shared" si="49"/>
        <v>381.93039077567039</v>
      </c>
      <c r="S183" s="374">
        <f t="shared" si="68"/>
        <v>390.48213504228806</v>
      </c>
      <c r="T183" s="375">
        <f t="shared" si="41"/>
        <v>390.48213504228806</v>
      </c>
      <c r="V183" s="340">
        <f t="shared" si="50"/>
        <v>0</v>
      </c>
      <c r="W183" s="340"/>
      <c r="X183" s="340"/>
      <c r="Y183" s="340"/>
      <c r="Z183" s="340"/>
      <c r="AA183" s="340"/>
      <c r="AB183" s="376"/>
      <c r="AC183" s="411" t="b">
        <f>IF(AD183=6,AF183)</f>
        <v>0</v>
      </c>
      <c r="AD183" s="411">
        <f t="shared" si="51"/>
        <v>1</v>
      </c>
      <c r="AE183" s="411">
        <f>IF(V183=0,0,6)</f>
        <v>0</v>
      </c>
      <c r="AF183" s="340">
        <f>SUM(V183:V189)/($B$175-B182)</f>
        <v>0</v>
      </c>
      <c r="AG183" s="340"/>
      <c r="AH183" s="353">
        <f>SUM(D179:D183)+$C$178</f>
        <v>1</v>
      </c>
      <c r="AI183" s="413" t="b">
        <f t="shared" si="52"/>
        <v>0</v>
      </c>
      <c r="AJ183" s="251">
        <f t="shared" si="53"/>
        <v>55.5017821</v>
      </c>
      <c r="AK183" s="344">
        <f t="shared" si="69"/>
        <v>0.82414380544689736</v>
      </c>
      <c r="AL183" s="252">
        <f t="shared" si="54"/>
        <v>347.72275439415495</v>
      </c>
      <c r="AM183" s="251">
        <f t="shared" si="55"/>
        <v>57.734415599999998</v>
      </c>
      <c r="AN183" s="345">
        <f t="shared" si="56"/>
        <v>0.84558264775702863</v>
      </c>
      <c r="AO183" s="253">
        <f t="shared" si="57"/>
        <v>399.16574470018293</v>
      </c>
      <c r="AP183" s="416">
        <f t="shared" si="42"/>
        <v>-39.16676045588423</v>
      </c>
      <c r="AQ183" s="944">
        <f t="shared" si="58"/>
        <v>-228</v>
      </c>
      <c r="AR183" s="346">
        <f t="shared" si="70"/>
        <v>-167.7</v>
      </c>
      <c r="AS183" s="347">
        <f t="shared" si="59"/>
        <v>746.88849909433793</v>
      </c>
      <c r="AT183" s="348">
        <f t="shared" si="60"/>
        <v>-347.72275439415495</v>
      </c>
      <c r="AU183" s="349">
        <f t="shared" si="61"/>
        <v>308.55599393827072</v>
      </c>
      <c r="AV183" s="348"/>
      <c r="AW183" s="350">
        <f t="shared" si="62"/>
        <v>-98.419457795651212</v>
      </c>
      <c r="AX183" s="350">
        <f t="shared" si="63"/>
        <v>-69.280542204348777</v>
      </c>
      <c r="AY183" s="351">
        <f t="shared" si="64"/>
        <v>-117.86287244220685</v>
      </c>
      <c r="AZ183" s="351">
        <f t="shared" si="65"/>
        <v>-167.43517921359256</v>
      </c>
      <c r="BA183" s="354">
        <f t="shared" si="66"/>
        <v>117.86287244220685</v>
      </c>
      <c r="BB183" s="354">
        <f t="shared" si="66"/>
        <v>167.43517921359256</v>
      </c>
      <c r="BD183" s="119"/>
      <c r="BE183" s="260">
        <v>3</v>
      </c>
      <c r="BF183" s="261">
        <f t="shared" ref="BF183:BF217" si="74">+BF182+43</f>
        <v>-387</v>
      </c>
      <c r="BG183" s="31">
        <f t="shared" ref="BG183:BG217" si="75">+BG182+$E$2</f>
        <v>-387</v>
      </c>
      <c r="BH183" s="263">
        <f t="shared" si="71"/>
        <v>-614.68307825869203</v>
      </c>
      <c r="BI183" s="264">
        <f t="shared" si="72"/>
        <v>614.68307825869203</v>
      </c>
      <c r="BJ183" s="264">
        <f t="shared" ref="BJ183:BJ217" si="76">+BJ182</f>
        <v>12.683078258692063</v>
      </c>
      <c r="BK183" s="264" t="b">
        <f t="shared" si="73"/>
        <v>0</v>
      </c>
      <c r="BL183" s="266">
        <v>3</v>
      </c>
      <c r="BM183" s="197"/>
      <c r="BN183" s="197"/>
      <c r="BO183" s="197"/>
      <c r="EK183" s="62"/>
      <c r="EL183" s="62"/>
    </row>
    <row r="184" spans="2:142" ht="23" thickBot="1" x14ac:dyDescent="0.35">
      <c r="B184" s="244">
        <v>7</v>
      </c>
      <c r="C184" s="245"/>
      <c r="D184" s="16">
        <v>0</v>
      </c>
      <c r="E184" s="246" t="s">
        <v>72</v>
      </c>
      <c r="F184" s="235"/>
      <c r="G184" s="235"/>
      <c r="H184" s="403">
        <v>472.06</v>
      </c>
      <c r="I184" s="404">
        <v>62.531168700000002</v>
      </c>
      <c r="J184" s="374">
        <f t="shared" si="67"/>
        <v>62.531168700000002</v>
      </c>
      <c r="K184" s="374">
        <f t="shared" si="43"/>
        <v>31.265584350000001</v>
      </c>
      <c r="L184" s="374">
        <f t="shared" si="44"/>
        <v>0.51900577347391186</v>
      </c>
      <c r="M184" s="374">
        <f t="shared" si="45"/>
        <v>245.00186542609484</v>
      </c>
      <c r="N184" s="374">
        <f t="shared" si="46"/>
        <v>490.00373085218968</v>
      </c>
      <c r="O184" s="374">
        <f>+C178+D179+D180+D181+D182+D183+(D184/2)</f>
        <v>1</v>
      </c>
      <c r="P184" s="374">
        <f t="shared" si="47"/>
        <v>1.7452406437283494E-2</v>
      </c>
      <c r="Q184" s="374">
        <f t="shared" si="48"/>
        <v>8.5517442666176837</v>
      </c>
      <c r="R184" s="374">
        <f t="shared" si="49"/>
        <v>390.48213504228806</v>
      </c>
      <c r="S184" s="374">
        <f t="shared" si="68"/>
        <v>399.03387930890574</v>
      </c>
      <c r="T184" s="375">
        <f t="shared" si="41"/>
        <v>399.03387930890574</v>
      </c>
      <c r="V184" s="340">
        <f t="shared" si="50"/>
        <v>0</v>
      </c>
      <c r="W184" s="340"/>
      <c r="X184" s="340"/>
      <c r="Y184" s="340"/>
      <c r="Z184" s="340"/>
      <c r="AA184" s="340"/>
      <c r="AB184" s="376"/>
      <c r="AC184" s="411" t="b">
        <f>IF(AD184=7,AF184)</f>
        <v>0</v>
      </c>
      <c r="AD184" s="411">
        <f t="shared" si="51"/>
        <v>1</v>
      </c>
      <c r="AE184" s="411">
        <f>IF(V184=0,0,7)</f>
        <v>0</v>
      </c>
      <c r="AF184" s="340">
        <f>SUM(V184:V189)/($B$175-B183)</f>
        <v>0</v>
      </c>
      <c r="AG184" s="340"/>
      <c r="AH184" s="353">
        <f>SUM(D179:D184)+$C$178</f>
        <v>1</v>
      </c>
      <c r="AI184" s="413" t="b">
        <f t="shared" si="52"/>
        <v>0</v>
      </c>
      <c r="AJ184" s="251">
        <f t="shared" si="53"/>
        <v>55.5017821</v>
      </c>
      <c r="AK184" s="344">
        <f t="shared" si="69"/>
        <v>0.82414380544689736</v>
      </c>
      <c r="AL184" s="252">
        <f t="shared" si="54"/>
        <v>347.72275439415495</v>
      </c>
      <c r="AM184" s="251">
        <f t="shared" si="55"/>
        <v>57.734415599999998</v>
      </c>
      <c r="AN184" s="345">
        <f t="shared" si="56"/>
        <v>0.84558264775702863</v>
      </c>
      <c r="AO184" s="253">
        <f t="shared" si="57"/>
        <v>399.16574470018293</v>
      </c>
      <c r="AP184" s="416">
        <f t="shared" si="42"/>
        <v>-29.231267149318139</v>
      </c>
      <c r="AQ184" s="944">
        <f t="shared" si="58"/>
        <v>-285</v>
      </c>
      <c r="AR184" s="346">
        <f t="shared" si="70"/>
        <v>-224.7</v>
      </c>
      <c r="AS184" s="347">
        <f t="shared" si="59"/>
        <v>746.88849909433793</v>
      </c>
      <c r="AT184" s="348">
        <f t="shared" si="60"/>
        <v>-347.72275439415495</v>
      </c>
      <c r="AU184" s="349">
        <f t="shared" si="61"/>
        <v>318.49148724483683</v>
      </c>
      <c r="AV184" s="348"/>
      <c r="AW184" s="350">
        <f t="shared" si="62"/>
        <v>-128.8824351684446</v>
      </c>
      <c r="AX184" s="350">
        <f t="shared" si="63"/>
        <v>-95.817564831555401</v>
      </c>
      <c r="AY184" s="351">
        <f t="shared" si="64"/>
        <v>-90.00450670286628</v>
      </c>
      <c r="AZ184" s="351">
        <f t="shared" si="65"/>
        <v>-121.06339813991804</v>
      </c>
      <c r="BA184" s="354">
        <f t="shared" si="66"/>
        <v>90.00450670286628</v>
      </c>
      <c r="BB184" s="354">
        <f t="shared" si="66"/>
        <v>121.06339813991804</v>
      </c>
      <c r="BD184" s="119"/>
      <c r="BE184" s="260">
        <v>4</v>
      </c>
      <c r="BF184" s="261">
        <f t="shared" si="74"/>
        <v>-344</v>
      </c>
      <c r="BG184" s="31">
        <f t="shared" si="75"/>
        <v>-344</v>
      </c>
      <c r="BH184" s="263">
        <f t="shared" si="71"/>
        <v>-571.68307825869203</v>
      </c>
      <c r="BI184" s="264">
        <f t="shared" si="72"/>
        <v>571.68307825869203</v>
      </c>
      <c r="BJ184" s="264">
        <f t="shared" si="76"/>
        <v>12.683078258692063</v>
      </c>
      <c r="BK184" s="264" t="b">
        <f t="shared" si="73"/>
        <v>0</v>
      </c>
      <c r="BL184" s="266">
        <v>4</v>
      </c>
      <c r="EK184" s="62"/>
      <c r="EL184" s="62"/>
    </row>
    <row r="185" spans="2:142" ht="23" thickBot="1" x14ac:dyDescent="0.35">
      <c r="B185" s="244">
        <v>8</v>
      </c>
      <c r="C185" s="245"/>
      <c r="D185" s="16">
        <v>0</v>
      </c>
      <c r="E185" s="246" t="s">
        <v>72</v>
      </c>
      <c r="F185" s="235"/>
      <c r="G185" s="235"/>
      <c r="H185" s="403">
        <v>472.06</v>
      </c>
      <c r="I185" s="404">
        <v>62.531168700000002</v>
      </c>
      <c r="J185" s="374">
        <f t="shared" si="67"/>
        <v>62.531168700000002</v>
      </c>
      <c r="K185" s="374">
        <f t="shared" si="43"/>
        <v>31.265584350000001</v>
      </c>
      <c r="L185" s="374">
        <f t="shared" si="44"/>
        <v>0.51900577347391186</v>
      </c>
      <c r="M185" s="374">
        <f t="shared" si="45"/>
        <v>245.00186542609484</v>
      </c>
      <c r="N185" s="374">
        <f t="shared" si="46"/>
        <v>490.00373085218968</v>
      </c>
      <c r="O185" s="374">
        <f>+C178+D179+D180+D181+D182+D183+D184+(D185/2)</f>
        <v>1</v>
      </c>
      <c r="P185" s="374">
        <f t="shared" si="47"/>
        <v>1.7452406437283494E-2</v>
      </c>
      <c r="Q185" s="374">
        <f t="shared" si="48"/>
        <v>8.5517442666176837</v>
      </c>
      <c r="R185" s="374">
        <f t="shared" si="49"/>
        <v>399.03387930890574</v>
      </c>
      <c r="S185" s="374">
        <f t="shared" si="68"/>
        <v>407.58562357552341</v>
      </c>
      <c r="T185" s="375">
        <f t="shared" si="41"/>
        <v>407.58562357552341</v>
      </c>
      <c r="V185" s="340">
        <f t="shared" si="50"/>
        <v>0</v>
      </c>
      <c r="W185" s="340"/>
      <c r="X185" s="340"/>
      <c r="Y185" s="340"/>
      <c r="Z185" s="340"/>
      <c r="AA185" s="340"/>
      <c r="AB185" s="376"/>
      <c r="AC185" s="411" t="b">
        <f>IF(AD185=8,AF185)</f>
        <v>0</v>
      </c>
      <c r="AD185" s="411">
        <f t="shared" si="51"/>
        <v>1</v>
      </c>
      <c r="AE185" s="411">
        <f>IF(V185=0,0,8)</f>
        <v>0</v>
      </c>
      <c r="AF185" s="340">
        <f>SUM(V185:V189)/($B$175-B184)</f>
        <v>0</v>
      </c>
      <c r="AG185" s="340"/>
      <c r="AH185" s="353">
        <f>SUM(D179:D185)+$C$178</f>
        <v>1</v>
      </c>
      <c r="AI185" s="413" t="b">
        <f t="shared" si="52"/>
        <v>0</v>
      </c>
      <c r="AJ185" s="251">
        <f t="shared" si="53"/>
        <v>55.5017821</v>
      </c>
      <c r="AK185" s="344">
        <f t="shared" si="69"/>
        <v>0.82414380544689736</v>
      </c>
      <c r="AL185" s="252">
        <f t="shared" si="54"/>
        <v>347.72275439415495</v>
      </c>
      <c r="AM185" s="251">
        <f t="shared" si="55"/>
        <v>57.734415599999998</v>
      </c>
      <c r="AN185" s="345">
        <f t="shared" si="56"/>
        <v>0.84558264775702863</v>
      </c>
      <c r="AO185" s="253">
        <f t="shared" si="57"/>
        <v>399.16574470018293</v>
      </c>
      <c r="AP185" s="416">
        <f t="shared" si="42"/>
        <v>-23.316527257549826</v>
      </c>
      <c r="AQ185" s="944">
        <f t="shared" si="58"/>
        <v>-342</v>
      </c>
      <c r="AR185" s="346">
        <f t="shared" si="70"/>
        <v>-281.7</v>
      </c>
      <c r="AS185" s="347">
        <f t="shared" si="59"/>
        <v>746.88849909433793</v>
      </c>
      <c r="AT185" s="348">
        <f t="shared" si="60"/>
        <v>-347.72275439415495</v>
      </c>
      <c r="AU185" s="349">
        <f t="shared" si="61"/>
        <v>324.40622713660514</v>
      </c>
      <c r="AV185" s="348"/>
      <c r="AW185" s="350">
        <f t="shared" si="62"/>
        <v>-159.34541254123795</v>
      </c>
      <c r="AX185" s="350">
        <f t="shared" si="63"/>
        <v>-122.35458745876201</v>
      </c>
      <c r="AY185" s="351">
        <f t="shared" si="64"/>
        <v>-72.797828409386852</v>
      </c>
      <c r="AZ185" s="351">
        <f t="shared" si="65"/>
        <v>-94.806416669171682</v>
      </c>
      <c r="BA185" s="354">
        <f t="shared" si="66"/>
        <v>72.797828409386852</v>
      </c>
      <c r="BB185" s="354">
        <f t="shared" si="66"/>
        <v>94.806416669171682</v>
      </c>
      <c r="BD185" s="119"/>
      <c r="BE185" s="260">
        <v>5</v>
      </c>
      <c r="BF185" s="261">
        <f t="shared" si="74"/>
        <v>-301</v>
      </c>
      <c r="BG185" s="31">
        <f t="shared" si="75"/>
        <v>-301</v>
      </c>
      <c r="BH185" s="263">
        <f t="shared" si="71"/>
        <v>-528.68307825869203</v>
      </c>
      <c r="BI185" s="264">
        <f t="shared" si="72"/>
        <v>528.68307825869203</v>
      </c>
      <c r="BJ185" s="264">
        <f t="shared" si="76"/>
        <v>12.683078258692063</v>
      </c>
      <c r="BK185" s="264" t="b">
        <f t="shared" si="73"/>
        <v>0</v>
      </c>
      <c r="BL185" s="266">
        <v>5</v>
      </c>
      <c r="EK185" s="62"/>
      <c r="EL185" s="62"/>
    </row>
    <row r="186" spans="2:142" ht="23" thickBot="1" x14ac:dyDescent="0.35">
      <c r="B186" s="244">
        <v>9</v>
      </c>
      <c r="C186" s="245"/>
      <c r="D186" s="16">
        <v>0</v>
      </c>
      <c r="E186" s="246" t="s">
        <v>72</v>
      </c>
      <c r="F186" s="235"/>
      <c r="G186" s="235"/>
      <c r="H186" s="403">
        <v>472.06</v>
      </c>
      <c r="I186" s="404">
        <v>62.531168700000002</v>
      </c>
      <c r="J186" s="374">
        <f t="shared" si="67"/>
        <v>62.531168700000002</v>
      </c>
      <c r="K186" s="374">
        <f t="shared" si="43"/>
        <v>31.265584350000001</v>
      </c>
      <c r="L186" s="374">
        <f t="shared" si="44"/>
        <v>0.51900577347391186</v>
      </c>
      <c r="M186" s="374">
        <f t="shared" si="45"/>
        <v>245.00186542609484</v>
      </c>
      <c r="N186" s="374">
        <f t="shared" si="46"/>
        <v>490.00373085218968</v>
      </c>
      <c r="O186" s="374">
        <f>+C178+D179+D180+D181+D182+D183+D184+D185+(D186/2)</f>
        <v>1</v>
      </c>
      <c r="P186" s="374">
        <f t="shared" si="47"/>
        <v>1.7452406437283494E-2</v>
      </c>
      <c r="Q186" s="374">
        <f t="shared" si="48"/>
        <v>8.5517442666176837</v>
      </c>
      <c r="R186" s="374">
        <f t="shared" si="49"/>
        <v>407.58562357552341</v>
      </c>
      <c r="S186" s="374">
        <f t="shared" si="68"/>
        <v>416.13736784214109</v>
      </c>
      <c r="T186" s="375">
        <f t="shared" si="41"/>
        <v>416.13736784214109</v>
      </c>
      <c r="V186" s="340">
        <f t="shared" si="50"/>
        <v>0</v>
      </c>
      <c r="W186" s="340"/>
      <c r="X186" s="340"/>
      <c r="Y186" s="340"/>
      <c r="Z186" s="340"/>
      <c r="AA186" s="340"/>
      <c r="AB186" s="376"/>
      <c r="AC186" s="411" t="b">
        <f>IF(AD186=9,AF186)</f>
        <v>0</v>
      </c>
      <c r="AD186" s="411">
        <f t="shared" si="51"/>
        <v>1</v>
      </c>
      <c r="AE186" s="411">
        <f>IF(V186=0,0,9)</f>
        <v>0</v>
      </c>
      <c r="AF186" s="340">
        <f>SUM(V186:V189)/($B$175-B185)</f>
        <v>0</v>
      </c>
      <c r="AG186" s="340"/>
      <c r="AH186" s="353">
        <f>SUM(D179:D186)+$C$178</f>
        <v>1</v>
      </c>
      <c r="AI186" s="413" t="b">
        <f t="shared" si="52"/>
        <v>0</v>
      </c>
      <c r="AJ186" s="251">
        <f t="shared" si="53"/>
        <v>55.5017821</v>
      </c>
      <c r="AK186" s="344">
        <f t="shared" si="69"/>
        <v>0.82414380544689736</v>
      </c>
      <c r="AL186" s="252">
        <f t="shared" si="54"/>
        <v>347.72275439415495</v>
      </c>
      <c r="AM186" s="251">
        <f t="shared" si="55"/>
        <v>57.734415599999998</v>
      </c>
      <c r="AN186" s="345">
        <f t="shared" si="56"/>
        <v>0.84558264775702863</v>
      </c>
      <c r="AO186" s="253">
        <f t="shared" si="57"/>
        <v>399.16574470018293</v>
      </c>
      <c r="AP186" s="416">
        <f t="shared" si="42"/>
        <v>-19.392576700477665</v>
      </c>
      <c r="AQ186" s="944">
        <f t="shared" si="58"/>
        <v>-399</v>
      </c>
      <c r="AR186" s="346">
        <f t="shared" si="70"/>
        <v>-338.7</v>
      </c>
      <c r="AS186" s="347">
        <f t="shared" si="59"/>
        <v>746.88849909433793</v>
      </c>
      <c r="AT186" s="348">
        <f t="shared" si="60"/>
        <v>-347.72275439415495</v>
      </c>
      <c r="AU186" s="349">
        <f t="shared" si="61"/>
        <v>328.33017769367729</v>
      </c>
      <c r="AV186" s="348"/>
      <c r="AW186" s="350">
        <f t="shared" si="62"/>
        <v>-189.80838991403135</v>
      </c>
      <c r="AX186" s="350">
        <f t="shared" si="63"/>
        <v>-148.89161008596861</v>
      </c>
      <c r="AY186" s="351">
        <f t="shared" si="64"/>
        <v>-61.114263733304469</v>
      </c>
      <c r="AZ186" s="351">
        <f t="shared" si="65"/>
        <v>-77.909023841586972</v>
      </c>
      <c r="BA186" s="354">
        <f t="shared" si="66"/>
        <v>61.114263733304469</v>
      </c>
      <c r="BB186" s="354">
        <f t="shared" si="66"/>
        <v>77.909023841586972</v>
      </c>
      <c r="BD186" s="119"/>
      <c r="BE186" s="260">
        <v>6</v>
      </c>
      <c r="BF186" s="261">
        <f t="shared" si="74"/>
        <v>-258</v>
      </c>
      <c r="BG186" s="31">
        <f t="shared" si="75"/>
        <v>-258</v>
      </c>
      <c r="BH186" s="263">
        <f t="shared" si="71"/>
        <v>-485.68307825869203</v>
      </c>
      <c r="BI186" s="264">
        <f t="shared" si="72"/>
        <v>485.68307825869203</v>
      </c>
      <c r="BJ186" s="264">
        <f t="shared" si="76"/>
        <v>12.683078258692063</v>
      </c>
      <c r="BK186" s="264" t="b">
        <f t="shared" si="73"/>
        <v>0</v>
      </c>
      <c r="BL186" s="266">
        <v>6</v>
      </c>
      <c r="EK186" s="62"/>
      <c r="EL186" s="62"/>
    </row>
    <row r="187" spans="2:142" ht="23" thickBot="1" x14ac:dyDescent="0.35">
      <c r="B187" s="244">
        <v>10</v>
      </c>
      <c r="C187" s="245"/>
      <c r="D187" s="16">
        <v>0</v>
      </c>
      <c r="E187" s="246" t="s">
        <v>72</v>
      </c>
      <c r="F187" s="235"/>
      <c r="G187" s="235"/>
      <c r="H187" s="403">
        <v>472.06</v>
      </c>
      <c r="I187" s="404">
        <v>62.531168700000002</v>
      </c>
      <c r="J187" s="374">
        <f t="shared" si="67"/>
        <v>62.531168700000002</v>
      </c>
      <c r="K187" s="374">
        <f t="shared" si="43"/>
        <v>31.265584350000001</v>
      </c>
      <c r="L187" s="374">
        <f t="shared" si="44"/>
        <v>0.51900577347391186</v>
      </c>
      <c r="M187" s="374">
        <f>+L187*H187</f>
        <v>245.00186542609484</v>
      </c>
      <c r="N187" s="374">
        <f t="shared" si="46"/>
        <v>490.00373085218968</v>
      </c>
      <c r="O187" s="374">
        <f>+C178+D179+D180+D181+D182+D183+D184+D185+D186+(D187/2)</f>
        <v>1</v>
      </c>
      <c r="P187" s="374">
        <f t="shared" si="47"/>
        <v>1.7452406437283494E-2</v>
      </c>
      <c r="Q187" s="374">
        <f t="shared" si="48"/>
        <v>8.5517442666176837</v>
      </c>
      <c r="R187" s="374">
        <f t="shared" si="49"/>
        <v>416.13736784214109</v>
      </c>
      <c r="S187" s="374">
        <f t="shared" si="68"/>
        <v>424.68911210875876</v>
      </c>
      <c r="T187" s="375">
        <f t="shared" si="41"/>
        <v>424.68911210875876</v>
      </c>
      <c r="V187" s="340">
        <f t="shared" si="50"/>
        <v>0</v>
      </c>
      <c r="W187" s="340"/>
      <c r="X187" s="340"/>
      <c r="Y187" s="340"/>
      <c r="Z187" s="340"/>
      <c r="AA187" s="340"/>
      <c r="AB187" s="376"/>
      <c r="AC187" s="411" t="b">
        <f>IF(AD187=10,AF187)</f>
        <v>0</v>
      </c>
      <c r="AD187" s="411">
        <f t="shared" si="51"/>
        <v>1</v>
      </c>
      <c r="AE187" s="411">
        <f>IF(V187=0,0,10)</f>
        <v>0</v>
      </c>
      <c r="AF187" s="340">
        <f>SUM(V187:V189)/($B$175-B186)</f>
        <v>0</v>
      </c>
      <c r="AG187" s="340"/>
      <c r="AH187" s="353">
        <f>SUM(D179:D187)+$C$178</f>
        <v>1</v>
      </c>
      <c r="AI187" s="413" t="b">
        <f t="shared" si="52"/>
        <v>0</v>
      </c>
      <c r="AJ187" s="251">
        <f t="shared" si="53"/>
        <v>55.5017821</v>
      </c>
      <c r="AK187" s="344">
        <f t="shared" si="69"/>
        <v>0.82414380544689736</v>
      </c>
      <c r="AL187" s="252">
        <f t="shared" si="54"/>
        <v>347.72275439415495</v>
      </c>
      <c r="AM187" s="251">
        <f t="shared" si="55"/>
        <v>57.734415599999998</v>
      </c>
      <c r="AN187" s="345">
        <f t="shared" si="56"/>
        <v>0.84558264775702863</v>
      </c>
      <c r="AO187" s="253">
        <f t="shared" si="57"/>
        <v>399.16574470018293</v>
      </c>
      <c r="AP187" s="416">
        <f t="shared" si="42"/>
        <v>-16.59910469661811</v>
      </c>
      <c r="AQ187" s="944">
        <f t="shared" si="58"/>
        <v>-456</v>
      </c>
      <c r="AR187" s="346">
        <f t="shared" si="70"/>
        <v>-395.7</v>
      </c>
      <c r="AS187" s="347">
        <f t="shared" si="59"/>
        <v>746.88849909433793</v>
      </c>
      <c r="AT187" s="348">
        <f t="shared" si="60"/>
        <v>-347.72275439415495</v>
      </c>
      <c r="AU187" s="349">
        <f t="shared" si="61"/>
        <v>331.12364969753685</v>
      </c>
      <c r="AV187" s="348"/>
      <c r="AW187" s="350">
        <f t="shared" si="62"/>
        <v>-220.27136728682473</v>
      </c>
      <c r="AX187" s="350">
        <f t="shared" si="63"/>
        <v>-175.42863271317523</v>
      </c>
      <c r="AY187" s="351">
        <f t="shared" si="64"/>
        <v>-52.662314411909676</v>
      </c>
      <c r="AZ187" s="351">
        <f t="shared" si="65"/>
        <v>-66.123755401810214</v>
      </c>
      <c r="BA187" s="354">
        <f t="shared" si="66"/>
        <v>52.662314411909676</v>
      </c>
      <c r="BB187" s="354">
        <f t="shared" si="66"/>
        <v>66.123755401810214</v>
      </c>
      <c r="BD187" s="119"/>
      <c r="BE187" s="260">
        <v>7</v>
      </c>
      <c r="BF187" s="261">
        <f t="shared" si="74"/>
        <v>-215</v>
      </c>
      <c r="BG187" s="31">
        <f t="shared" si="75"/>
        <v>-215</v>
      </c>
      <c r="BH187" s="263">
        <f t="shared" si="71"/>
        <v>-442.68307825869203</v>
      </c>
      <c r="BI187" s="264">
        <f t="shared" si="72"/>
        <v>442.68307825869203</v>
      </c>
      <c r="BJ187" s="264">
        <f t="shared" si="76"/>
        <v>12.683078258692063</v>
      </c>
      <c r="BK187" s="264" t="b">
        <f t="shared" si="73"/>
        <v>0</v>
      </c>
      <c r="BL187" s="266">
        <v>7</v>
      </c>
      <c r="EK187" s="62"/>
      <c r="EL187" s="62"/>
    </row>
    <row r="188" spans="2:142" ht="23" thickBot="1" x14ac:dyDescent="0.35">
      <c r="B188" s="244">
        <v>11</v>
      </c>
      <c r="C188" s="245"/>
      <c r="D188" s="16">
        <v>0</v>
      </c>
      <c r="E188" s="246" t="s">
        <v>72</v>
      </c>
      <c r="F188" s="235"/>
      <c r="G188" s="235"/>
      <c r="H188" s="403">
        <v>472.06</v>
      </c>
      <c r="I188" s="404">
        <v>62.531168700000002</v>
      </c>
      <c r="J188" s="374">
        <f t="shared" si="67"/>
        <v>62.531168700000002</v>
      </c>
      <c r="K188" s="374">
        <f t="shared" si="43"/>
        <v>31.265584350000001</v>
      </c>
      <c r="L188" s="374">
        <f t="shared" si="44"/>
        <v>0.51900577347391186</v>
      </c>
      <c r="M188" s="374">
        <f t="shared" si="45"/>
        <v>245.00186542609484</v>
      </c>
      <c r="N188" s="374">
        <f t="shared" si="46"/>
        <v>490.00373085218968</v>
      </c>
      <c r="O188" s="374">
        <f>+C178+D179+D180+D181+D182+D183+D184+D185+D186+D187+(D188/2)</f>
        <v>1</v>
      </c>
      <c r="P188" s="374">
        <f t="shared" si="47"/>
        <v>1.7452406437283494E-2</v>
      </c>
      <c r="Q188" s="374">
        <f t="shared" si="48"/>
        <v>8.5517442666176837</v>
      </c>
      <c r="R188" s="374">
        <f t="shared" si="49"/>
        <v>424.68911210875876</v>
      </c>
      <c r="S188" s="374">
        <f t="shared" si="68"/>
        <v>433.24085637537644</v>
      </c>
      <c r="T188" s="375">
        <f t="shared" si="41"/>
        <v>433.24085637537644</v>
      </c>
      <c r="V188" s="340">
        <f t="shared" si="50"/>
        <v>0</v>
      </c>
      <c r="W188" s="340"/>
      <c r="X188" s="340"/>
      <c r="Y188" s="340"/>
      <c r="Z188" s="340"/>
      <c r="AA188" s="340"/>
      <c r="AB188" s="376"/>
      <c r="AC188" s="411" t="b">
        <f>IF(AD188=11,AF188)</f>
        <v>0</v>
      </c>
      <c r="AD188" s="411">
        <f t="shared" si="51"/>
        <v>1</v>
      </c>
      <c r="AE188" s="411">
        <f>IF(V188=0,0,11)</f>
        <v>0</v>
      </c>
      <c r="AF188" s="340">
        <f>SUM(V188:V189)/($B$175-B187)</f>
        <v>0</v>
      </c>
      <c r="AG188" s="340"/>
      <c r="AH188" s="353">
        <f>SUM(D179:D188)+$C$178</f>
        <v>1</v>
      </c>
      <c r="AI188" s="413" t="b">
        <f t="shared" si="52"/>
        <v>0</v>
      </c>
      <c r="AJ188" s="251">
        <f t="shared" si="53"/>
        <v>55.5017821</v>
      </c>
      <c r="AK188" s="344">
        <f t="shared" si="69"/>
        <v>0.82414380544689736</v>
      </c>
      <c r="AL188" s="252">
        <f t="shared" si="54"/>
        <v>347.72275439415495</v>
      </c>
      <c r="AM188" s="251">
        <f t="shared" si="55"/>
        <v>57.734415599999998</v>
      </c>
      <c r="AN188" s="345">
        <f t="shared" si="56"/>
        <v>0.84558264775702863</v>
      </c>
      <c r="AO188" s="253">
        <f t="shared" si="57"/>
        <v>399.16574470018293</v>
      </c>
      <c r="AP188" s="416">
        <f t="shared" si="42"/>
        <v>-14.509091514141343</v>
      </c>
      <c r="AQ188" s="944">
        <f t="shared" si="58"/>
        <v>-513</v>
      </c>
      <c r="AR188" s="346">
        <f t="shared" si="70"/>
        <v>-452.7</v>
      </c>
      <c r="AS188" s="347">
        <f t="shared" si="59"/>
        <v>746.88849909433793</v>
      </c>
      <c r="AT188" s="348">
        <f t="shared" si="60"/>
        <v>-347.72275439415495</v>
      </c>
      <c r="AU188" s="349">
        <f t="shared" si="61"/>
        <v>333.2136628800136</v>
      </c>
      <c r="AV188" s="348"/>
      <c r="AW188" s="350">
        <f t="shared" si="62"/>
        <v>-250.73434465961813</v>
      </c>
      <c r="AX188" s="350">
        <f t="shared" si="63"/>
        <v>-201.96565534038183</v>
      </c>
      <c r="AY188" s="351">
        <f t="shared" si="64"/>
        <v>-46.264104806812412</v>
      </c>
      <c r="AZ188" s="351">
        <f t="shared" si="65"/>
        <v>-57.435507935495252</v>
      </c>
      <c r="BA188" s="354">
        <f t="shared" si="66"/>
        <v>46.264104806812412</v>
      </c>
      <c r="BB188" s="354">
        <f t="shared" si="66"/>
        <v>57.435507935495252</v>
      </c>
      <c r="BD188" s="119"/>
      <c r="BE188" s="260">
        <v>8</v>
      </c>
      <c r="BF188" s="261">
        <f t="shared" si="74"/>
        <v>-172</v>
      </c>
      <c r="BG188" s="31">
        <f t="shared" si="75"/>
        <v>-172</v>
      </c>
      <c r="BH188" s="263">
        <f t="shared" si="71"/>
        <v>-399.68307825869203</v>
      </c>
      <c r="BI188" s="264">
        <f t="shared" si="72"/>
        <v>399.68307825869203</v>
      </c>
      <c r="BJ188" s="264">
        <f t="shared" si="76"/>
        <v>12.683078258692063</v>
      </c>
      <c r="BK188" s="264" t="b">
        <f t="shared" si="73"/>
        <v>0</v>
      </c>
      <c r="BL188" s="266">
        <v>8</v>
      </c>
      <c r="EK188" s="62"/>
      <c r="EL188" s="62"/>
    </row>
    <row r="189" spans="2:142" ht="23" thickBot="1" x14ac:dyDescent="0.35">
      <c r="B189" s="244">
        <v>12</v>
      </c>
      <c r="C189" s="245"/>
      <c r="D189" s="16">
        <v>0</v>
      </c>
      <c r="E189" s="246" t="s">
        <v>72</v>
      </c>
      <c r="F189" s="235"/>
      <c r="G189" s="235"/>
      <c r="H189" s="403">
        <v>472.06</v>
      </c>
      <c r="I189" s="404">
        <v>62.531168700000002</v>
      </c>
      <c r="J189" s="374">
        <f t="shared" si="67"/>
        <v>62.531168700000002</v>
      </c>
      <c r="K189" s="374">
        <f t="shared" si="43"/>
        <v>31.265584350000001</v>
      </c>
      <c r="L189" s="374">
        <f t="shared" si="44"/>
        <v>0.51900577347391186</v>
      </c>
      <c r="M189" s="374">
        <f t="shared" si="45"/>
        <v>245.00186542609484</v>
      </c>
      <c r="N189" s="374">
        <f t="shared" si="46"/>
        <v>490.00373085218968</v>
      </c>
      <c r="O189" s="374">
        <f>+C178+D179+D180+D181+D182+D183+D184+D185+D186+D187+D188+(D189/2)</f>
        <v>1</v>
      </c>
      <c r="P189" s="374">
        <f t="shared" si="47"/>
        <v>1.7452406437283494E-2</v>
      </c>
      <c r="Q189" s="374">
        <f t="shared" si="48"/>
        <v>8.5517442666176837</v>
      </c>
      <c r="R189" s="374">
        <f t="shared" si="49"/>
        <v>433.24085637537644</v>
      </c>
      <c r="S189" s="374">
        <f t="shared" si="68"/>
        <v>441.79260064199411</v>
      </c>
      <c r="T189" s="375">
        <f t="shared" si="41"/>
        <v>441.79260064199411</v>
      </c>
      <c r="V189" s="340">
        <f t="shared" si="50"/>
        <v>0</v>
      </c>
      <c r="W189" s="340"/>
      <c r="X189" s="340"/>
      <c r="Y189" s="340"/>
      <c r="Z189" s="340"/>
      <c r="AA189" s="340"/>
      <c r="AB189" s="376"/>
      <c r="AC189" s="411" t="b">
        <f>IF(AD189=12,AF189)</f>
        <v>0</v>
      </c>
      <c r="AD189" s="411">
        <f t="shared" si="51"/>
        <v>1</v>
      </c>
      <c r="AE189" s="411">
        <f>IF(V189=0,0,12)</f>
        <v>0</v>
      </c>
      <c r="AF189" s="340">
        <f>SUM(V189)/($B$175-B188)</f>
        <v>0</v>
      </c>
      <c r="AG189" s="340"/>
      <c r="AH189" s="353">
        <f>SUM(D179:D189)+$C$178</f>
        <v>1</v>
      </c>
      <c r="AI189" s="413" t="b">
        <f t="shared" si="52"/>
        <v>0</v>
      </c>
      <c r="AJ189" s="251">
        <f t="shared" si="53"/>
        <v>55.5017821</v>
      </c>
      <c r="AK189" s="344">
        <f t="shared" si="69"/>
        <v>0.82414380544689736</v>
      </c>
      <c r="AL189" s="252">
        <f t="shared" si="54"/>
        <v>347.72275439415495</v>
      </c>
      <c r="AM189" s="251">
        <f t="shared" si="55"/>
        <v>57.734415599999998</v>
      </c>
      <c r="AN189" s="345">
        <f t="shared" si="56"/>
        <v>0.84558264775702863</v>
      </c>
      <c r="AO189" s="253">
        <f t="shared" si="57"/>
        <v>399.16574470018293</v>
      </c>
      <c r="AP189" s="416">
        <f t="shared" si="42"/>
        <v>-12.886532722094929</v>
      </c>
      <c r="AQ189" s="944">
        <f t="shared" si="58"/>
        <v>-570</v>
      </c>
      <c r="AR189" s="346">
        <f t="shared" si="70"/>
        <v>-509.70000000000005</v>
      </c>
      <c r="AS189" s="347">
        <f t="shared" si="59"/>
        <v>746.88849909433793</v>
      </c>
      <c r="AT189" s="348">
        <f t="shared" si="60"/>
        <v>-347.72275439415495</v>
      </c>
      <c r="AU189" s="349">
        <f t="shared" si="61"/>
        <v>334.83622167205999</v>
      </c>
      <c r="AV189" s="348"/>
      <c r="AW189" s="350">
        <f t="shared" si="62"/>
        <v>-281.19732203241159</v>
      </c>
      <c r="AX189" s="350">
        <f t="shared" si="63"/>
        <v>-228.50267796758845</v>
      </c>
      <c r="AY189" s="351">
        <f t="shared" si="64"/>
        <v>-41.252170952975689</v>
      </c>
      <c r="AZ189" s="351">
        <f t="shared" si="65"/>
        <v>-50.765269375290998</v>
      </c>
      <c r="BA189" s="354">
        <f t="shared" si="66"/>
        <v>41.252170952975689</v>
      </c>
      <c r="BB189" s="354">
        <f t="shared" si="66"/>
        <v>50.765269375290998</v>
      </c>
      <c r="BD189" s="119"/>
      <c r="BE189" s="260">
        <v>9</v>
      </c>
      <c r="BF189" s="261">
        <f t="shared" si="74"/>
        <v>-129</v>
      </c>
      <c r="BG189" s="31">
        <f t="shared" si="75"/>
        <v>-129</v>
      </c>
      <c r="BH189" s="263">
        <f t="shared" si="71"/>
        <v>-356.68307825869203</v>
      </c>
      <c r="BI189" s="264">
        <f t="shared" si="72"/>
        <v>356.68307825869203</v>
      </c>
      <c r="BJ189" s="264">
        <f t="shared" si="76"/>
        <v>12.683078258692063</v>
      </c>
      <c r="BK189" s="264" t="b">
        <f t="shared" si="73"/>
        <v>0</v>
      </c>
      <c r="BL189" s="266">
        <v>9</v>
      </c>
      <c r="EK189" s="62"/>
      <c r="EL189" s="62"/>
    </row>
    <row r="190" spans="2:142" ht="45" hidden="1" thickBot="1" x14ac:dyDescent="0.35">
      <c r="U190" s="243"/>
      <c r="AH190" s="432" t="s">
        <v>71</v>
      </c>
      <c r="AI190" s="433">
        <f>MAX(AI178:AI189)</f>
        <v>1</v>
      </c>
      <c r="BD190" s="119"/>
      <c r="BE190" s="260">
        <v>10</v>
      </c>
      <c r="BF190" s="261">
        <f t="shared" si="74"/>
        <v>-86</v>
      </c>
      <c r="BG190" s="31">
        <f t="shared" si="75"/>
        <v>-86</v>
      </c>
      <c r="BH190" s="263">
        <f t="shared" si="71"/>
        <v>-313.68307825869203</v>
      </c>
      <c r="BI190" s="264">
        <f t="shared" si="72"/>
        <v>313.68307825869203</v>
      </c>
      <c r="BJ190" s="264">
        <f t="shared" si="76"/>
        <v>12.683078258692063</v>
      </c>
      <c r="BK190" s="264" t="b">
        <f t="shared" si="73"/>
        <v>0</v>
      </c>
      <c r="BL190" s="266">
        <v>10</v>
      </c>
      <c r="EK190" s="62"/>
      <c r="EL190" s="62"/>
    </row>
    <row r="191" spans="2:142" ht="27" hidden="1" thickBot="1" x14ac:dyDescent="0.35">
      <c r="B191" s="286"/>
      <c r="U191" s="243"/>
      <c r="AL191" s="686" t="s">
        <v>153</v>
      </c>
      <c r="AM191" s="687"/>
      <c r="AN191" s="687"/>
      <c r="AO191" s="687"/>
      <c r="AP191" s="688"/>
      <c r="BE191" s="260">
        <v>11</v>
      </c>
      <c r="BF191" s="261">
        <f t="shared" si="74"/>
        <v>-43</v>
      </c>
      <c r="BG191" s="31">
        <f t="shared" si="75"/>
        <v>-43</v>
      </c>
      <c r="BH191" s="263">
        <f t="shared" si="71"/>
        <v>-270.68307825869203</v>
      </c>
      <c r="BI191" s="264">
        <f t="shared" si="72"/>
        <v>270.68307825869203</v>
      </c>
      <c r="BJ191" s="264">
        <f t="shared" si="76"/>
        <v>12.683078258692063</v>
      </c>
      <c r="BK191" s="264" t="b">
        <f t="shared" si="73"/>
        <v>0</v>
      </c>
      <c r="BL191" s="266">
        <v>11</v>
      </c>
    </row>
    <row r="192" spans="2:142" ht="98" hidden="1" thickBot="1" x14ac:dyDescent="0.35">
      <c r="B192" s="286"/>
      <c r="AB192" s="318"/>
      <c r="AC192" s="318"/>
      <c r="AD192" s="318"/>
      <c r="AE192" s="318"/>
      <c r="AH192" s="424" t="s">
        <v>71</v>
      </c>
      <c r="AI192" s="425">
        <f>MAX(AI178:AI190)</f>
        <v>1</v>
      </c>
      <c r="AL192" s="657" t="s">
        <v>129</v>
      </c>
      <c r="AM192" s="658" t="s">
        <v>130</v>
      </c>
      <c r="AN192" s="658" t="s">
        <v>131</v>
      </c>
      <c r="AO192" s="659" t="s">
        <v>135</v>
      </c>
      <c r="AP192" s="660"/>
      <c r="BE192" s="260">
        <v>12</v>
      </c>
      <c r="BF192" s="261">
        <f t="shared" si="74"/>
        <v>0</v>
      </c>
      <c r="BG192" s="31">
        <f t="shared" si="75"/>
        <v>0</v>
      </c>
      <c r="BH192" s="263">
        <f t="shared" si="71"/>
        <v>-227.68307825869206</v>
      </c>
      <c r="BI192" s="264">
        <f t="shared" si="72"/>
        <v>227.68307825869206</v>
      </c>
      <c r="BJ192" s="264">
        <f t="shared" si="76"/>
        <v>12.683078258692063</v>
      </c>
      <c r="BK192" s="264" t="b">
        <f t="shared" si="73"/>
        <v>0</v>
      </c>
      <c r="BL192" s="266">
        <v>12</v>
      </c>
    </row>
    <row r="193" spans="2:109" ht="25" hidden="1" thickBot="1" x14ac:dyDescent="0.35">
      <c r="B193" s="286"/>
      <c r="AB193" s="318"/>
      <c r="AC193" s="318"/>
      <c r="AD193" s="318"/>
      <c r="AE193" s="318"/>
      <c r="AH193" s="694"/>
      <c r="AI193" s="695"/>
      <c r="AL193" s="661">
        <v>6.8623010000000004</v>
      </c>
      <c r="AM193" s="662">
        <f>+(AI192*-1)-AL193</f>
        <v>-7.8623010000000004</v>
      </c>
      <c r="AN193" s="663">
        <f>COS(AM193*3.14159265358979/180)</f>
        <v>0.9905996834409182</v>
      </c>
      <c r="AO193" s="689">
        <f>+AN193*378.71303</f>
        <v>375.15300763295096</v>
      </c>
      <c r="AP193" s="664"/>
      <c r="BE193" s="260">
        <v>13</v>
      </c>
      <c r="BF193" s="261">
        <f t="shared" si="74"/>
        <v>43</v>
      </c>
      <c r="BG193" s="31">
        <f t="shared" si="75"/>
        <v>43</v>
      </c>
      <c r="BH193" s="263">
        <f t="shared" si="71"/>
        <v>-184.68307825869206</v>
      </c>
      <c r="BI193" s="264">
        <f t="shared" si="72"/>
        <v>184.68307825869206</v>
      </c>
      <c r="BJ193" s="264">
        <f t="shared" si="76"/>
        <v>12.683078258692063</v>
      </c>
      <c r="BK193" s="264" t="b">
        <f t="shared" si="73"/>
        <v>0</v>
      </c>
      <c r="BL193" s="266">
        <v>13</v>
      </c>
    </row>
    <row r="194" spans="2:109" ht="27" hidden="1" thickBot="1" x14ac:dyDescent="0.35">
      <c r="B194" s="286"/>
      <c r="AB194" s="318"/>
      <c r="AC194" s="318"/>
      <c r="AD194" s="318"/>
      <c r="AE194" s="318"/>
      <c r="AH194" s="694"/>
      <c r="AI194" s="695"/>
      <c r="AL194" s="685" t="s">
        <v>154</v>
      </c>
      <c r="AM194" s="690"/>
      <c r="AN194" s="690"/>
      <c r="AO194" s="690"/>
      <c r="AP194" s="691"/>
      <c r="BE194" s="260">
        <v>14</v>
      </c>
      <c r="BF194" s="261">
        <f t="shared" si="74"/>
        <v>86</v>
      </c>
      <c r="BG194" s="31">
        <f t="shared" si="75"/>
        <v>86</v>
      </c>
      <c r="BH194" s="263">
        <f t="shared" si="71"/>
        <v>-141.68307825869206</v>
      </c>
      <c r="BI194" s="264">
        <f t="shared" si="72"/>
        <v>141.68307825869206</v>
      </c>
      <c r="BJ194" s="264">
        <f t="shared" si="76"/>
        <v>12.683078258692063</v>
      </c>
      <c r="BK194" s="264" t="b">
        <f t="shared" si="73"/>
        <v>0</v>
      </c>
      <c r="BL194" s="266">
        <v>14</v>
      </c>
    </row>
    <row r="195" spans="2:109" ht="217" hidden="1" x14ac:dyDescent="0.3">
      <c r="B195" s="286"/>
      <c r="AB195" s="318"/>
      <c r="AC195" s="318"/>
      <c r="AD195" s="318"/>
      <c r="AE195" s="318"/>
      <c r="AH195" s="694"/>
      <c r="AI195" s="695"/>
      <c r="AL195" s="692"/>
      <c r="AM195" s="658" t="s">
        <v>147</v>
      </c>
      <c r="AN195" s="658" t="s">
        <v>146</v>
      </c>
      <c r="AO195" s="659" t="s">
        <v>155</v>
      </c>
      <c r="AP195" s="684" t="s">
        <v>144</v>
      </c>
      <c r="BE195" s="260">
        <v>15</v>
      </c>
      <c r="BF195" s="261">
        <f t="shared" si="74"/>
        <v>129</v>
      </c>
      <c r="BG195" s="31">
        <f t="shared" si="75"/>
        <v>129</v>
      </c>
      <c r="BH195" s="263">
        <f t="shared" si="71"/>
        <v>-98.683078258692063</v>
      </c>
      <c r="BI195" s="264">
        <f t="shared" si="72"/>
        <v>98.683078258692063</v>
      </c>
      <c r="BJ195" s="264">
        <f t="shared" si="76"/>
        <v>12.683078258692063</v>
      </c>
      <c r="BK195" s="264" t="b">
        <f t="shared" si="73"/>
        <v>0</v>
      </c>
      <c r="BL195" s="266">
        <v>15</v>
      </c>
    </row>
    <row r="196" spans="2:109" ht="25" hidden="1" thickBot="1" x14ac:dyDescent="0.35">
      <c r="V196" s="170"/>
      <c r="W196" s="170"/>
      <c r="X196" s="170"/>
      <c r="Y196" s="170"/>
      <c r="Z196" s="170"/>
      <c r="AA196" s="170"/>
      <c r="AB196" s="170"/>
      <c r="AC196" s="170"/>
      <c r="AD196" s="170"/>
      <c r="AE196" s="170"/>
      <c r="AF196" s="170"/>
      <c r="AG196" s="170"/>
      <c r="AH196" s="170"/>
      <c r="AI196" s="170"/>
      <c r="AJ196" s="170"/>
      <c r="AK196" s="170"/>
      <c r="AL196" s="693"/>
      <c r="AM196" s="665">
        <f>+AI192</f>
        <v>1</v>
      </c>
      <c r="AN196" s="666">
        <f>SIN(AM196*3.14159265358979/180)</f>
        <v>1.7452406437283494E-2</v>
      </c>
      <c r="AO196" s="667">
        <f>+AN196*((+B136*358.6)+(B175*491.5)+119+119+119)</f>
        <v>21.066799810444905</v>
      </c>
      <c r="AP196" s="668">
        <f>+AO193+AO196</f>
        <v>396.21980744339589</v>
      </c>
      <c r="AQ196" s="170"/>
      <c r="AR196" s="170"/>
      <c r="AS196" s="170"/>
      <c r="AT196" s="170">
        <f>+AS178-AP178</f>
        <v>521.92259704935782</v>
      </c>
      <c r="AU196" s="170"/>
      <c r="AV196" s="170"/>
      <c r="AW196" s="170"/>
      <c r="AX196" s="170"/>
      <c r="AY196" s="170"/>
      <c r="AZ196" s="170"/>
      <c r="BA196" s="170"/>
      <c r="BB196" s="170"/>
      <c r="BC196" s="109"/>
      <c r="BE196" s="260">
        <v>16</v>
      </c>
      <c r="BF196" s="261">
        <f t="shared" si="74"/>
        <v>172</v>
      </c>
      <c r="BG196" s="31">
        <f t="shared" si="75"/>
        <v>172</v>
      </c>
      <c r="BH196" s="263">
        <f t="shared" si="71"/>
        <v>-55.683078258692063</v>
      </c>
      <c r="BI196" s="264">
        <f t="shared" si="72"/>
        <v>55.683078258692063</v>
      </c>
      <c r="BJ196" s="264">
        <f t="shared" si="76"/>
        <v>12.683078258692063</v>
      </c>
      <c r="BK196" s="264" t="b">
        <f t="shared" si="73"/>
        <v>0</v>
      </c>
      <c r="BL196" s="266">
        <v>16</v>
      </c>
    </row>
    <row r="197" spans="2:109" ht="21" thickBot="1" x14ac:dyDescent="0.35">
      <c r="V197" s="170"/>
      <c r="W197" s="170"/>
      <c r="X197" s="170"/>
      <c r="Y197" s="170"/>
      <c r="Z197" s="170"/>
      <c r="AA197" s="170"/>
      <c r="AB197" s="170"/>
      <c r="AC197" s="170"/>
      <c r="AD197" s="170"/>
      <c r="AE197" s="170"/>
      <c r="AF197" s="170"/>
      <c r="AG197" s="170"/>
      <c r="AH197" s="170"/>
      <c r="AI197" s="170"/>
      <c r="AJ197" s="170"/>
      <c r="AK197" s="170"/>
      <c r="AL197" s="170"/>
      <c r="AM197" s="170"/>
      <c r="AN197" s="170"/>
      <c r="AO197" s="170"/>
      <c r="AP197" s="170"/>
      <c r="AQ197" s="170"/>
      <c r="AR197" s="170"/>
      <c r="AS197" s="170"/>
      <c r="AT197" s="170"/>
      <c r="AU197" s="170"/>
      <c r="AV197" s="170"/>
      <c r="AW197" s="170"/>
      <c r="AX197" s="170"/>
      <c r="AY197" s="170"/>
      <c r="AZ197" s="170"/>
      <c r="BA197" s="170"/>
      <c r="BB197" s="170"/>
      <c r="BC197" s="109"/>
      <c r="BE197" s="260">
        <v>17</v>
      </c>
      <c r="BF197" s="261">
        <f t="shared" si="74"/>
        <v>215</v>
      </c>
      <c r="BG197" s="31">
        <f t="shared" si="75"/>
        <v>215</v>
      </c>
      <c r="BH197" s="263">
        <f t="shared" si="71"/>
        <v>-12.683078258692063</v>
      </c>
      <c r="BI197" s="264">
        <f t="shared" si="72"/>
        <v>12.683078258692063</v>
      </c>
      <c r="BJ197" s="264">
        <f t="shared" si="76"/>
        <v>12.683078258692063</v>
      </c>
      <c r="BK197" s="264">
        <f t="shared" si="73"/>
        <v>17</v>
      </c>
      <c r="BL197" s="266">
        <v>17</v>
      </c>
    </row>
    <row r="198" spans="2:109" ht="69.75" customHeight="1" thickBot="1" x14ac:dyDescent="0.35">
      <c r="B198" s="284" t="s">
        <v>228</v>
      </c>
      <c r="C198" s="357"/>
      <c r="D198" s="358"/>
      <c r="E198" s="26"/>
      <c r="F198" s="26"/>
      <c r="G198" s="26"/>
      <c r="H198" s="359"/>
      <c r="I198" s="359"/>
      <c r="J198" s="359"/>
      <c r="K198" s="359"/>
      <c r="L198" s="359"/>
      <c r="M198" s="359"/>
      <c r="N198" s="359"/>
      <c r="O198" s="359"/>
      <c r="P198" s="359"/>
      <c r="Q198" s="359"/>
      <c r="R198" s="359"/>
      <c r="S198" s="360" t="s">
        <v>60</v>
      </c>
      <c r="T198" s="360">
        <f>SUM(V202:V221)/B199</f>
        <v>215.62121358952774</v>
      </c>
      <c r="U198" s="195"/>
      <c r="V198" s="170"/>
      <c r="W198" s="170"/>
      <c r="X198" s="170"/>
      <c r="Y198" s="170"/>
      <c r="Z198" s="170"/>
      <c r="AA198" s="170"/>
      <c r="AB198" s="170"/>
      <c r="AC198" s="170"/>
      <c r="AD198" s="170"/>
      <c r="AE198" s="170"/>
      <c r="AF198" s="170"/>
      <c r="AG198" s="170"/>
      <c r="AH198" s="170"/>
      <c r="AI198" s="170"/>
      <c r="AJ198" s="170"/>
      <c r="AK198" s="170"/>
      <c r="AL198" s="170"/>
      <c r="AM198" s="170"/>
      <c r="AN198" s="170"/>
      <c r="AO198" s="170"/>
      <c r="AP198" s="170"/>
      <c r="AQ198" s="170"/>
      <c r="AR198" s="170"/>
      <c r="AS198" s="170"/>
      <c r="AT198" s="170"/>
      <c r="AU198" s="170"/>
      <c r="AV198" s="170"/>
      <c r="AW198" s="170"/>
      <c r="AX198" s="170"/>
      <c r="AY198" s="170"/>
      <c r="AZ198" s="170"/>
      <c r="BA198" s="170"/>
      <c r="BB198" s="170"/>
      <c r="BC198" s="109"/>
      <c r="BE198" s="260">
        <v>18</v>
      </c>
      <c r="BF198" s="261">
        <f t="shared" si="74"/>
        <v>258</v>
      </c>
      <c r="BG198" s="31">
        <f t="shared" si="75"/>
        <v>258</v>
      </c>
      <c r="BH198" s="263">
        <f t="shared" si="71"/>
        <v>30.316921741307937</v>
      </c>
      <c r="BI198" s="264">
        <f t="shared" si="72"/>
        <v>30.316921741307937</v>
      </c>
      <c r="BJ198" s="264">
        <f t="shared" si="76"/>
        <v>12.683078258692063</v>
      </c>
      <c r="BK198" s="264" t="b">
        <f t="shared" si="73"/>
        <v>0</v>
      </c>
      <c r="BL198" s="266">
        <v>18</v>
      </c>
    </row>
    <row r="199" spans="2:109" ht="42.75" customHeight="1" thickBot="1" x14ac:dyDescent="0.35">
      <c r="B199" s="17">
        <v>1</v>
      </c>
      <c r="C199" s="199"/>
      <c r="D199" s="427" t="s">
        <v>214</v>
      </c>
      <c r="E199" s="277"/>
      <c r="F199" s="277"/>
      <c r="G199" s="277"/>
      <c r="H199" s="902" t="s">
        <v>227</v>
      </c>
      <c r="I199" s="902" t="s">
        <v>216</v>
      </c>
      <c r="J199" s="363"/>
      <c r="K199" s="363"/>
      <c r="L199" s="363"/>
      <c r="M199" s="363"/>
      <c r="N199" s="363"/>
      <c r="O199" s="363"/>
      <c r="P199" s="363"/>
      <c r="Q199" s="363"/>
      <c r="R199" s="363"/>
      <c r="S199" s="364"/>
      <c r="T199" s="365"/>
      <c r="U199" s="304"/>
      <c r="V199" s="366"/>
      <c r="W199" s="366"/>
      <c r="X199" s="366"/>
      <c r="Y199" s="366"/>
      <c r="Z199" s="366"/>
      <c r="AA199" s="366"/>
      <c r="AC199" s="366"/>
      <c r="AD199" s="366"/>
      <c r="AE199" s="366"/>
      <c r="AF199" s="366"/>
      <c r="AG199" s="366"/>
      <c r="AH199" s="366"/>
      <c r="AI199" s="366"/>
      <c r="AJ199" s="366"/>
      <c r="AK199" s="366"/>
      <c r="AL199" s="366"/>
      <c r="AM199" s="366"/>
      <c r="AN199" s="366"/>
      <c r="AO199" s="366"/>
      <c r="AP199" s="366"/>
      <c r="AQ199" s="366"/>
      <c r="AR199" s="366"/>
      <c r="AS199" s="366"/>
      <c r="AT199" s="366"/>
      <c r="AU199" s="366"/>
      <c r="AV199" s="366"/>
      <c r="AW199" s="366"/>
      <c r="AX199" s="366"/>
      <c r="AY199" s="366"/>
      <c r="AZ199" s="366"/>
      <c r="BA199" s="1115" t="s">
        <v>46</v>
      </c>
      <c r="BB199" s="1116"/>
      <c r="BC199" s="201"/>
      <c r="BE199" s="260">
        <v>19</v>
      </c>
      <c r="BF199" s="261">
        <f t="shared" si="74"/>
        <v>301</v>
      </c>
      <c r="BG199" s="31">
        <f t="shared" si="75"/>
        <v>301</v>
      </c>
      <c r="BH199" s="263">
        <f t="shared" si="71"/>
        <v>73.316921741307937</v>
      </c>
      <c r="BI199" s="264">
        <f t="shared" si="72"/>
        <v>73.316921741307937</v>
      </c>
      <c r="BJ199" s="264">
        <f t="shared" si="76"/>
        <v>12.683078258692063</v>
      </c>
      <c r="BK199" s="264" t="b">
        <f t="shared" si="73"/>
        <v>0</v>
      </c>
      <c r="BL199" s="266">
        <v>19</v>
      </c>
      <c r="BP199" s="267"/>
      <c r="BQ199" s="267"/>
      <c r="BR199" s="267"/>
      <c r="BS199" s="267"/>
      <c r="BT199" s="267"/>
      <c r="BU199" s="267"/>
      <c r="BV199" s="1109"/>
      <c r="BW199" s="1109"/>
      <c r="BX199" s="1109"/>
      <c r="BY199" s="109"/>
    </row>
    <row r="200" spans="2:109" ht="46" hidden="1" thickBot="1" x14ac:dyDescent="0.35">
      <c r="C200" s="319"/>
      <c r="D200" s="287" t="s">
        <v>13</v>
      </c>
      <c r="H200" s="903" t="s">
        <v>4</v>
      </c>
      <c r="I200" s="904" t="s">
        <v>1</v>
      </c>
      <c r="J200" s="359" t="s">
        <v>0</v>
      </c>
      <c r="K200" s="359" t="s">
        <v>2</v>
      </c>
      <c r="L200" s="359" t="s">
        <v>3</v>
      </c>
      <c r="M200" s="359" t="s">
        <v>8</v>
      </c>
      <c r="N200" s="359" t="s">
        <v>5</v>
      </c>
      <c r="O200" s="359" t="s">
        <v>6</v>
      </c>
      <c r="P200" s="359" t="s">
        <v>7</v>
      </c>
      <c r="Q200" s="359" t="s">
        <v>9</v>
      </c>
      <c r="R200" s="367" t="s">
        <v>10</v>
      </c>
      <c r="S200" s="359" t="s">
        <v>11</v>
      </c>
      <c r="T200" s="368" t="s">
        <v>12</v>
      </c>
      <c r="V200" s="323"/>
      <c r="W200" s="323"/>
      <c r="X200" s="323"/>
      <c r="Y200" s="323"/>
      <c r="Z200" s="323"/>
      <c r="AA200" s="323"/>
      <c r="AB200" s="994" t="s">
        <v>248</v>
      </c>
      <c r="AC200" s="323"/>
      <c r="AD200" s="323"/>
      <c r="AE200" s="323"/>
      <c r="AF200" s="323"/>
      <c r="AG200" s="323"/>
      <c r="AH200" s="323"/>
      <c r="AI200" s="323"/>
      <c r="AJ200" s="901" t="s">
        <v>217</v>
      </c>
      <c r="AK200" s="323"/>
      <c r="AL200" s="901" t="s">
        <v>225</v>
      </c>
      <c r="AM200" s="901" t="s">
        <v>219</v>
      </c>
      <c r="AN200" s="323"/>
      <c r="AO200" s="901" t="s">
        <v>226</v>
      </c>
      <c r="AP200" s="323"/>
      <c r="AQ200" s="901" t="s">
        <v>224</v>
      </c>
      <c r="AR200" s="323"/>
      <c r="AS200" s="323"/>
      <c r="AT200" s="323"/>
      <c r="AU200" s="323"/>
      <c r="AV200" s="323"/>
      <c r="AW200" s="323"/>
      <c r="AX200" s="323"/>
      <c r="AY200" s="318"/>
      <c r="AZ200" s="323"/>
      <c r="BA200" s="323"/>
      <c r="BB200" s="323"/>
      <c r="BC200" s="212"/>
      <c r="BE200" s="260">
        <v>20</v>
      </c>
      <c r="BF200" s="261">
        <f t="shared" si="74"/>
        <v>344</v>
      </c>
      <c r="BG200" s="31">
        <f t="shared" si="75"/>
        <v>344</v>
      </c>
      <c r="BH200" s="263">
        <f t="shared" si="71"/>
        <v>116.31692174130794</v>
      </c>
      <c r="BI200" s="264">
        <f t="shared" si="72"/>
        <v>116.31692174130794</v>
      </c>
      <c r="BJ200" s="264">
        <f t="shared" si="76"/>
        <v>12.683078258692063</v>
      </c>
      <c r="BK200" s="264" t="b">
        <f t="shared" si="73"/>
        <v>0</v>
      </c>
      <c r="BL200" s="266">
        <v>20</v>
      </c>
      <c r="BV200" s="268"/>
      <c r="CI200" s="268"/>
    </row>
    <row r="201" spans="2:109" ht="42" customHeight="1" thickBot="1" x14ac:dyDescent="0.35">
      <c r="B201" s="324"/>
      <c r="C201" s="325"/>
      <c r="D201" s="429" t="s">
        <v>20</v>
      </c>
      <c r="E201" s="277"/>
      <c r="F201" s="369" t="s">
        <v>43</v>
      </c>
      <c r="G201" s="221"/>
      <c r="H201" s="370"/>
      <c r="I201" s="371"/>
      <c r="R201" s="367"/>
      <c r="T201" s="372"/>
      <c r="V201" s="323"/>
      <c r="W201" s="323"/>
      <c r="X201" s="323"/>
      <c r="Y201" s="323"/>
      <c r="Z201" s="323"/>
      <c r="AA201" s="323"/>
      <c r="AB201" s="323"/>
      <c r="AC201" s="323"/>
      <c r="AD201" s="323"/>
      <c r="AE201" s="323"/>
      <c r="AF201" s="321" t="s">
        <v>36</v>
      </c>
      <c r="AG201" s="430" t="s">
        <v>91</v>
      </c>
      <c r="AH201" s="328" t="s">
        <v>29</v>
      </c>
      <c r="AI201" s="328"/>
      <c r="AJ201" s="905" t="s">
        <v>218</v>
      </c>
      <c r="AK201" s="329" t="s">
        <v>30</v>
      </c>
      <c r="AL201" s="907" t="s">
        <v>31</v>
      </c>
      <c r="AM201" s="905" t="s">
        <v>220</v>
      </c>
      <c r="AN201" s="330" t="s">
        <v>32</v>
      </c>
      <c r="AO201" s="905" t="s">
        <v>33</v>
      </c>
      <c r="AP201" s="330"/>
      <c r="AQ201" s="997" t="s">
        <v>34</v>
      </c>
      <c r="AR201" s="323"/>
      <c r="AS201" s="323" t="s">
        <v>35</v>
      </c>
      <c r="AT201" s="323" t="s">
        <v>37</v>
      </c>
      <c r="AU201" s="323"/>
      <c r="AV201" s="323" t="s">
        <v>38</v>
      </c>
      <c r="AW201" s="332" t="s">
        <v>39</v>
      </c>
      <c r="AX201" s="332" t="s">
        <v>40</v>
      </c>
      <c r="AY201" s="333" t="s">
        <v>21</v>
      </c>
      <c r="AZ201" s="333" t="s">
        <v>22</v>
      </c>
      <c r="BA201" s="334" t="s">
        <v>21</v>
      </c>
      <c r="BB201" s="334" t="s">
        <v>22</v>
      </c>
      <c r="BE201" s="260">
        <v>21</v>
      </c>
      <c r="BF201" s="261">
        <f t="shared" si="74"/>
        <v>387</v>
      </c>
      <c r="BG201" s="31">
        <f t="shared" si="75"/>
        <v>387</v>
      </c>
      <c r="BH201" s="263">
        <f t="shared" si="71"/>
        <v>159.31692174130794</v>
      </c>
      <c r="BI201" s="264">
        <f t="shared" si="72"/>
        <v>159.31692174130794</v>
      </c>
      <c r="BJ201" s="264">
        <f t="shared" si="76"/>
        <v>12.683078258692063</v>
      </c>
      <c r="BK201" s="264" t="b">
        <f t="shared" si="73"/>
        <v>0</v>
      </c>
      <c r="BL201" s="266">
        <v>21</v>
      </c>
      <c r="BP201" s="269"/>
      <c r="BQ201" s="269"/>
      <c r="BR201" s="269"/>
      <c r="BS201" s="269"/>
      <c r="BT201" s="269"/>
      <c r="BU201" s="269"/>
      <c r="BV201" s="1110"/>
      <c r="BW201" s="1110"/>
      <c r="CH201" s="1104"/>
      <c r="CI201" s="1104"/>
    </row>
    <row r="202" spans="2:109" ht="21" customHeight="1" thickBot="1" x14ac:dyDescent="0.35">
      <c r="B202" s="232">
        <v>1</v>
      </c>
      <c r="C202" s="233">
        <f>+AI192+D202</f>
        <v>2</v>
      </c>
      <c r="D202" s="16">
        <v>1</v>
      </c>
      <c r="E202" s="234" t="s">
        <v>106</v>
      </c>
      <c r="F202" s="235">
        <f>+G202</f>
        <v>1</v>
      </c>
      <c r="G202" s="235">
        <f>+D202</f>
        <v>1</v>
      </c>
      <c r="H202" s="888">
        <v>251.073172</v>
      </c>
      <c r="I202" s="889">
        <v>65.636175100000003</v>
      </c>
      <c r="J202" s="374">
        <f>+I202-C202</f>
        <v>63.636175100000003</v>
      </c>
      <c r="K202" s="374">
        <f>+J202/2</f>
        <v>31.818087550000001</v>
      </c>
      <c r="L202" s="374">
        <f t="shared" ref="L202:L227" si="77">SIN(K202*3.14159265358979/180)</f>
        <v>0.52722406956490597</v>
      </c>
      <c r="M202" s="374">
        <f t="shared" ref="M202:M227" si="78">+L202*H202</f>
        <v>132.3718195004096</v>
      </c>
      <c r="N202" s="374">
        <f t="shared" ref="N202:N227" si="79">+M202*2</f>
        <v>264.7436390008192</v>
      </c>
      <c r="O202" s="374">
        <f>+C202/2</f>
        <v>1</v>
      </c>
      <c r="P202" s="374">
        <f t="shared" ref="P202:P227" si="80">SIN(O202*3.14159265358979/180)</f>
        <v>1.7452406437283494E-2</v>
      </c>
      <c r="Q202" s="374">
        <f t="shared" ref="Q202:Q227" si="81">+P202*N202</f>
        <v>4.6204135895277547</v>
      </c>
      <c r="R202" s="963">
        <v>211.0008</v>
      </c>
      <c r="S202" s="374">
        <f>+R202+Q202</f>
        <v>215.62121358952774</v>
      </c>
      <c r="T202" s="375">
        <f t="shared" ref="T202:T227" si="82">+S202</f>
        <v>215.62121358952774</v>
      </c>
      <c r="V202" s="929">
        <f t="shared" ref="V202:V227" si="83">IF(B202&lt;($B$199+1),T202,0)</f>
        <v>215.62121358952774</v>
      </c>
      <c r="W202" s="340"/>
      <c r="X202" s="340"/>
      <c r="Y202" s="340"/>
      <c r="Z202" s="340"/>
      <c r="AA202" s="340"/>
      <c r="AB202" s="235" t="str">
        <f>IF(AZ202&lt;0,"use the locking pin"," ")</f>
        <v xml:space="preserve"> </v>
      </c>
      <c r="AC202" s="377"/>
      <c r="AD202" s="377"/>
      <c r="AE202" s="377"/>
      <c r="AF202" s="966">
        <f>SUM(V202:V227)/($B$199)</f>
        <v>215.62121358952774</v>
      </c>
      <c r="AG202" s="971">
        <f>+AF202+AA178+AA139</f>
        <v>228.92258806067164</v>
      </c>
      <c r="AH202" s="353">
        <f>C202</f>
        <v>2</v>
      </c>
      <c r="AI202" s="944"/>
      <c r="AJ202" s="575">
        <f>75.4990086-AH202</f>
        <v>73.499008599999996</v>
      </c>
      <c r="AK202" s="944">
        <f t="shared" ref="AK202:AK227" si="84">SIN(AJ202*3.14159265358979/180)</f>
        <v>0.95881482035199095</v>
      </c>
      <c r="AL202" s="944">
        <f>+AK202*290.642868</f>
        <v>278.67268926800745</v>
      </c>
      <c r="AM202" s="968">
        <f>57.1819124+AH202</f>
        <v>59.181912400000002</v>
      </c>
      <c r="AN202" s="944">
        <f>SIN(AM202*3.14159265358979/180)</f>
        <v>0.85879820825488717</v>
      </c>
      <c r="AO202" s="969">
        <f>+AN202*251.073172</f>
        <v>215.62119025447112</v>
      </c>
      <c r="AP202" s="342"/>
      <c r="AQ202" s="347">
        <f>$C$14*B199</f>
        <v>29.3</v>
      </c>
      <c r="AR202" s="347"/>
      <c r="AS202" s="348">
        <f>+AO202+AL202</f>
        <v>494.29387952247856</v>
      </c>
      <c r="AT202" s="348">
        <f>+V202-AO202</f>
        <v>2.3335056624773642E-5</v>
      </c>
      <c r="AU202" s="348"/>
      <c r="AV202" s="350">
        <f>+AF202-AT202</f>
        <v>215.62119025447112</v>
      </c>
      <c r="AW202" s="350">
        <f>+((AS202-AV202)/AS202)*AQ202</f>
        <v>16.518735379529016</v>
      </c>
      <c r="AX202" s="351">
        <f>+(AV202/AS202)*AQ202</f>
        <v>12.781264620470987</v>
      </c>
      <c r="AY202" s="351">
        <f t="shared" ref="AY202:AY227" si="85">2*$C$18/AW202</f>
        <v>702.23293330162551</v>
      </c>
      <c r="AZ202" s="1043">
        <f t="shared" ref="AZ202:AZ227" si="86">$D$18/AX202</f>
        <v>782.39519303775296</v>
      </c>
      <c r="BA202" s="241">
        <f>ABS(AY202)</f>
        <v>702.23293330162551</v>
      </c>
      <c r="BB202" s="242">
        <f>ABS(AZ202)</f>
        <v>782.39519303775296</v>
      </c>
      <c r="BC202" s="74" t="s">
        <v>41</v>
      </c>
      <c r="BE202" s="260">
        <v>22</v>
      </c>
      <c r="BF202" s="261">
        <f t="shared" si="74"/>
        <v>430</v>
      </c>
      <c r="BG202" s="31">
        <f t="shared" si="75"/>
        <v>430</v>
      </c>
      <c r="BH202" s="263">
        <f t="shared" si="71"/>
        <v>202.31692174130794</v>
      </c>
      <c r="BI202" s="264">
        <f t="shared" si="72"/>
        <v>202.31692174130794</v>
      </c>
      <c r="BJ202" s="264">
        <f t="shared" si="76"/>
        <v>12.683078258692063</v>
      </c>
      <c r="BK202" s="264" t="b">
        <f t="shared" si="73"/>
        <v>0</v>
      </c>
      <c r="BL202" s="266">
        <v>22</v>
      </c>
    </row>
    <row r="203" spans="2:109" ht="21" customHeight="1" thickBot="1" x14ac:dyDescent="0.35">
      <c r="B203" s="244">
        <v>2</v>
      </c>
      <c r="C203" s="245"/>
      <c r="D203" s="16">
        <v>1</v>
      </c>
      <c r="E203" s="234" t="s">
        <v>215</v>
      </c>
      <c r="F203" s="235" t="e">
        <f t="shared" ref="F203:F227" si="87">+G203</f>
        <v>#DIV/0!</v>
      </c>
      <c r="G203" s="235" t="e">
        <f>+D203+BC203</f>
        <v>#DIV/0!</v>
      </c>
      <c r="H203" s="888">
        <v>251.073172</v>
      </c>
      <c r="I203" s="889">
        <v>65.636175100000003</v>
      </c>
      <c r="J203" s="374">
        <f t="shared" ref="J203:J227" si="88">+I203-D203</f>
        <v>64.636175100000003</v>
      </c>
      <c r="K203" s="374">
        <f t="shared" ref="K203:K227" si="89">+J203/2</f>
        <v>32.318087550000001</v>
      </c>
      <c r="L203" s="374">
        <f t="shared" si="77"/>
        <v>0.53461916118589337</v>
      </c>
      <c r="M203" s="374">
        <f t="shared" si="78"/>
        <v>134.22852861092153</v>
      </c>
      <c r="N203" s="374">
        <f t="shared" si="79"/>
        <v>268.45705722184306</v>
      </c>
      <c r="O203" s="374">
        <f>+C202+(D203/2)</f>
        <v>2.5</v>
      </c>
      <c r="P203" s="374">
        <f t="shared" si="80"/>
        <v>4.3619387365335958E-2</v>
      </c>
      <c r="Q203" s="374">
        <f t="shared" si="81"/>
        <v>11.709932369917734</v>
      </c>
      <c r="R203" s="374">
        <f t="shared" ref="R203:R227" si="90">+T202</f>
        <v>215.62121358952774</v>
      </c>
      <c r="S203" s="374">
        <f>+R203+Q203</f>
        <v>227.33114595944548</v>
      </c>
      <c r="T203" s="375">
        <f t="shared" si="82"/>
        <v>227.33114595944548</v>
      </c>
      <c r="V203" s="929">
        <f t="shared" si="83"/>
        <v>0</v>
      </c>
      <c r="W203" s="340"/>
      <c r="X203" s="340"/>
      <c r="Y203" s="340"/>
      <c r="Z203" s="340"/>
      <c r="AA203" s="340"/>
      <c r="AB203" s="247" t="e">
        <f t="shared" ref="AB203:AB227" si="91">IF(AZ203&lt;0,"use the locking pin"," ")</f>
        <v>#DIV/0!</v>
      </c>
      <c r="AC203" s="377"/>
      <c r="AD203" s="377"/>
      <c r="AE203" s="377"/>
      <c r="AF203" s="966" t="e">
        <f>SUM(V203:V227)/($B$199-B202)</f>
        <v>#DIV/0!</v>
      </c>
      <c r="AG203" s="971"/>
      <c r="AH203" s="353">
        <f>SUM(D203)+$C$202</f>
        <v>3</v>
      </c>
      <c r="AI203" s="944"/>
      <c r="AJ203" s="575">
        <f t="shared" ref="AJ203:AJ227" si="92">75.4990086-AH203</f>
        <v>72.499008599999996</v>
      </c>
      <c r="AK203" s="944">
        <f t="shared" si="84"/>
        <v>0.95371174743460796</v>
      </c>
      <c r="AL203" s="944">
        <f t="shared" ref="AL203:AL227" si="93">+AK203*290.642868</f>
        <v>277.18951751968609</v>
      </c>
      <c r="AM203" s="968">
        <f t="shared" ref="AM203:AM227" si="94">57.1819124+AH203</f>
        <v>60.181912400000002</v>
      </c>
      <c r="AN203" s="944">
        <f t="shared" ref="AN203:AN227" si="95">SIN(AM203*3.14159265358979/180)</f>
        <v>0.86760852132903066</v>
      </c>
      <c r="AO203" s="969">
        <f t="shared" ref="AO203:AO227" si="96">+AN203*251.073172</f>
        <v>217.83322350430939</v>
      </c>
      <c r="AP203" s="251"/>
      <c r="AQ203" s="347">
        <f t="shared" ref="AQ203:AQ227" si="97">$C$14*($B$199-B202)</f>
        <v>0</v>
      </c>
      <c r="AR203" s="347"/>
      <c r="AS203" s="348">
        <f t="shared" ref="AS203:AS227" si="98">+AO203+AL203</f>
        <v>495.02274102399548</v>
      </c>
      <c r="AT203" s="348">
        <f>+V203-AO203</f>
        <v>-217.83322350430939</v>
      </c>
      <c r="AU203" s="348"/>
      <c r="AV203" s="350" t="e">
        <f>+AF203-AT203</f>
        <v>#DIV/0!</v>
      </c>
      <c r="AW203" s="350" t="e">
        <f t="shared" ref="AW203:AW227" si="99">+((AS203-AV203)/AS203)*AQ203</f>
        <v>#DIV/0!</v>
      </c>
      <c r="AX203" s="351" t="e">
        <f t="shared" ref="AX203:AX227" si="100">+(AV203/AS203)*AQ203</f>
        <v>#DIV/0!</v>
      </c>
      <c r="AY203" s="351" t="e">
        <f t="shared" si="85"/>
        <v>#DIV/0!</v>
      </c>
      <c r="AZ203" s="1043" t="e">
        <f t="shared" si="86"/>
        <v>#DIV/0!</v>
      </c>
      <c r="BA203" s="241" t="e">
        <f t="shared" ref="BA203:BB222" si="101">ABS(AY203)</f>
        <v>#DIV/0!</v>
      </c>
      <c r="BB203" s="256" t="e">
        <f t="shared" si="101"/>
        <v>#DIV/0!</v>
      </c>
      <c r="BC203" s="26" t="e">
        <f t="shared" ref="BC203:BC227" si="102">IF(AZ203&lt;0,0.3,0)</f>
        <v>#DIV/0!</v>
      </c>
      <c r="BE203" s="260">
        <v>23</v>
      </c>
      <c r="BF203" s="261">
        <f t="shared" si="74"/>
        <v>473</v>
      </c>
      <c r="BG203" s="31">
        <f t="shared" si="75"/>
        <v>473</v>
      </c>
      <c r="BH203" s="263">
        <f t="shared" si="71"/>
        <v>245.31692174130794</v>
      </c>
      <c r="BI203" s="264">
        <f t="shared" si="72"/>
        <v>245.31692174130794</v>
      </c>
      <c r="BJ203" s="264">
        <f t="shared" si="76"/>
        <v>12.683078258692063</v>
      </c>
      <c r="BK203" s="264" t="b">
        <f t="shared" si="73"/>
        <v>0</v>
      </c>
      <c r="BL203" s="266">
        <v>23</v>
      </c>
    </row>
    <row r="204" spans="2:109" ht="21" customHeight="1" thickBot="1" x14ac:dyDescent="0.35">
      <c r="B204" s="244">
        <v>3</v>
      </c>
      <c r="C204" s="245"/>
      <c r="D204" s="16">
        <v>1</v>
      </c>
      <c r="E204" s="234" t="s">
        <v>215</v>
      </c>
      <c r="F204" s="235">
        <f t="shared" si="87"/>
        <v>1.3</v>
      </c>
      <c r="G204" s="235">
        <f t="shared" ref="G204:G227" si="103">+D204+BC204</f>
        <v>1.3</v>
      </c>
      <c r="H204" s="888">
        <v>251.073172</v>
      </c>
      <c r="I204" s="889">
        <v>65.636175100000003</v>
      </c>
      <c r="J204" s="374">
        <f t="shared" si="88"/>
        <v>64.636175100000003</v>
      </c>
      <c r="K204" s="374">
        <f t="shared" si="89"/>
        <v>32.318087550000001</v>
      </c>
      <c r="L204" s="374">
        <f t="shared" si="77"/>
        <v>0.53461916118589337</v>
      </c>
      <c r="M204" s="374">
        <f t="shared" si="78"/>
        <v>134.22852861092153</v>
      </c>
      <c r="N204" s="374">
        <f t="shared" si="79"/>
        <v>268.45705722184306</v>
      </c>
      <c r="O204" s="374">
        <f>+C202+D203+(D204/2)</f>
        <v>3.5</v>
      </c>
      <c r="P204" s="374">
        <f t="shared" si="80"/>
        <v>6.1048539534856811E-2</v>
      </c>
      <c r="Q204" s="374">
        <f t="shared" si="81"/>
        <v>16.388911271219001</v>
      </c>
      <c r="R204" s="374">
        <f t="shared" si="90"/>
        <v>227.33114595944548</v>
      </c>
      <c r="S204" s="374">
        <f t="shared" ref="S204:S227" si="104">+S203+Q204</f>
        <v>243.72005723066448</v>
      </c>
      <c r="T204" s="375">
        <f t="shared" si="82"/>
        <v>243.72005723066448</v>
      </c>
      <c r="V204" s="929">
        <f t="shared" si="83"/>
        <v>0</v>
      </c>
      <c r="W204" s="340"/>
      <c r="X204" s="340"/>
      <c r="Y204" s="340"/>
      <c r="Z204" s="340"/>
      <c r="AA204" s="340"/>
      <c r="AB204" s="257" t="str">
        <f t="shared" si="91"/>
        <v>use the locking pin</v>
      </c>
      <c r="AC204" s="377"/>
      <c r="AD204" s="377"/>
      <c r="AE204" s="377"/>
      <c r="AF204" s="966">
        <f>SUM(V204:V227)/($B$199-B203)</f>
        <v>0</v>
      </c>
      <c r="AG204" s="971"/>
      <c r="AH204" s="353">
        <f>SUM(D203:D204)+$C$202</f>
        <v>4</v>
      </c>
      <c r="AI204" s="944"/>
      <c r="AJ204" s="575">
        <f t="shared" si="92"/>
        <v>71.499008599999996</v>
      </c>
      <c r="AK204" s="944">
        <f t="shared" si="84"/>
        <v>0.94831816468014318</v>
      </c>
      <c r="AL204" s="944">
        <f t="shared" si="93"/>
        <v>275.62191115913316</v>
      </c>
      <c r="AM204" s="968">
        <f t="shared" si="94"/>
        <v>61.181912400000002</v>
      </c>
      <c r="AN204" s="944">
        <f t="shared" si="95"/>
        <v>0.87615455244286489</v>
      </c>
      <c r="AO204" s="969">
        <f t="shared" si="96"/>
        <v>219.97890264407044</v>
      </c>
      <c r="AP204" s="251"/>
      <c r="AQ204" s="347">
        <f t="shared" si="97"/>
        <v>-29.3</v>
      </c>
      <c r="AR204" s="347"/>
      <c r="AS204" s="348">
        <f t="shared" si="98"/>
        <v>495.60081380320361</v>
      </c>
      <c r="AT204" s="348">
        <f>+V204-AO204</f>
        <v>-219.97890264407044</v>
      </c>
      <c r="AU204" s="348"/>
      <c r="AV204" s="350">
        <f>+AF204-AT204</f>
        <v>219.97890264407044</v>
      </c>
      <c r="AW204" s="350">
        <f t="shared" si="99"/>
        <v>-16.294811816369133</v>
      </c>
      <c r="AX204" s="351">
        <f t="shared" si="100"/>
        <v>-13.005188183630866</v>
      </c>
      <c r="AY204" s="351">
        <f t="shared" si="85"/>
        <v>-711.88302944051748</v>
      </c>
      <c r="AZ204" s="1043">
        <f t="shared" si="86"/>
        <v>-768.92389858584431</v>
      </c>
      <c r="BA204" s="241">
        <f t="shared" si="101"/>
        <v>711.88302944051748</v>
      </c>
      <c r="BB204" s="242">
        <f t="shared" si="101"/>
        <v>768.92389858584431</v>
      </c>
      <c r="BC204" s="26">
        <f t="shared" si="102"/>
        <v>0.3</v>
      </c>
      <c r="BE204" s="260">
        <v>24</v>
      </c>
      <c r="BF204" s="261">
        <f t="shared" si="74"/>
        <v>516</v>
      </c>
      <c r="BG204" s="31">
        <f t="shared" si="75"/>
        <v>516</v>
      </c>
      <c r="BH204" s="263">
        <f t="shared" si="71"/>
        <v>288.31692174130797</v>
      </c>
      <c r="BI204" s="264">
        <f t="shared" si="72"/>
        <v>288.31692174130797</v>
      </c>
      <c r="BJ204" s="264">
        <f t="shared" si="76"/>
        <v>12.683078258692063</v>
      </c>
      <c r="BK204" s="264" t="b">
        <f t="shared" si="73"/>
        <v>0</v>
      </c>
      <c r="BL204" s="266">
        <v>24</v>
      </c>
    </row>
    <row r="205" spans="2:109" ht="21" customHeight="1" thickBot="1" x14ac:dyDescent="0.35">
      <c r="B205" s="244">
        <v>4</v>
      </c>
      <c r="C205" s="245"/>
      <c r="D205" s="16">
        <v>1</v>
      </c>
      <c r="E205" s="234" t="s">
        <v>215</v>
      </c>
      <c r="F205" s="235">
        <f t="shared" si="87"/>
        <v>1.3</v>
      </c>
      <c r="G205" s="235">
        <f t="shared" si="103"/>
        <v>1.3</v>
      </c>
      <c r="H205" s="888">
        <v>251.073172</v>
      </c>
      <c r="I205" s="889">
        <v>65.636175100000003</v>
      </c>
      <c r="J205" s="374">
        <f t="shared" si="88"/>
        <v>64.636175100000003</v>
      </c>
      <c r="K205" s="374">
        <f t="shared" si="89"/>
        <v>32.318087550000001</v>
      </c>
      <c r="L205" s="374">
        <f t="shared" si="77"/>
        <v>0.53461916118589337</v>
      </c>
      <c r="M205" s="374">
        <f t="shared" si="78"/>
        <v>134.22852861092153</v>
      </c>
      <c r="N205" s="374">
        <f t="shared" si="79"/>
        <v>268.45705722184306</v>
      </c>
      <c r="O205" s="374">
        <f>+C202+D203+D204+(D205/2)</f>
        <v>4.5</v>
      </c>
      <c r="P205" s="374">
        <f t="shared" si="80"/>
        <v>7.845909572784486E-2</v>
      </c>
      <c r="Q205" s="374">
        <f t="shared" si="81"/>
        <v>21.062897951384109</v>
      </c>
      <c r="R205" s="374">
        <f t="shared" si="90"/>
        <v>243.72005723066448</v>
      </c>
      <c r="S205" s="374">
        <f t="shared" si="104"/>
        <v>264.78295518204857</v>
      </c>
      <c r="T205" s="375">
        <f t="shared" si="82"/>
        <v>264.78295518204857</v>
      </c>
      <c r="V205" s="929">
        <f t="shared" si="83"/>
        <v>0</v>
      </c>
      <c r="W205" s="340"/>
      <c r="X205" s="340"/>
      <c r="Y205" s="340"/>
      <c r="Z205" s="340"/>
      <c r="AA205" s="340"/>
      <c r="AB205" s="257" t="str">
        <f t="shared" si="91"/>
        <v>use the locking pin</v>
      </c>
      <c r="AC205" s="377"/>
      <c r="AD205" s="377"/>
      <c r="AE205" s="377"/>
      <c r="AF205" s="966">
        <f>SUM(V205:V227)/($B$199-B204)</f>
        <v>0</v>
      </c>
      <c r="AG205" s="971"/>
      <c r="AH205" s="353">
        <f>SUM(D203:D205)+$C$202</f>
        <v>5</v>
      </c>
      <c r="AI205" s="944"/>
      <c r="AJ205" s="575">
        <f t="shared" si="92"/>
        <v>70.499008599999996</v>
      </c>
      <c r="AK205" s="944">
        <f t="shared" si="84"/>
        <v>0.94263571502615251</v>
      </c>
      <c r="AL205" s="944">
        <f t="shared" si="93"/>
        <v>273.97034769443167</v>
      </c>
      <c r="AM205" s="968">
        <f t="shared" si="94"/>
        <v>62.181912400000002</v>
      </c>
      <c r="AN205" s="944">
        <f t="shared" si="95"/>
        <v>0.88443369839252528</v>
      </c>
      <c r="AO205" s="969">
        <f t="shared" si="96"/>
        <v>222.05757407910264</v>
      </c>
      <c r="AP205" s="251"/>
      <c r="AQ205" s="347">
        <f t="shared" si="97"/>
        <v>-58.6</v>
      </c>
      <c r="AR205" s="347"/>
      <c r="AS205" s="348">
        <f t="shared" si="98"/>
        <v>496.02792177353433</v>
      </c>
      <c r="AT205" s="348">
        <f>+V205-AO205</f>
        <v>-222.05757407910264</v>
      </c>
      <c r="AU205" s="348"/>
      <c r="AV205" s="350">
        <f t="shared" ref="AV205:AV227" si="105">+AF205-AT205</f>
        <v>222.05757407910264</v>
      </c>
      <c r="AW205" s="350">
        <f t="shared" si="99"/>
        <v>-32.366448883544074</v>
      </c>
      <c r="AX205" s="351">
        <f t="shared" si="100"/>
        <v>-26.233551116455924</v>
      </c>
      <c r="AY205" s="351">
        <f t="shared" si="85"/>
        <v>-358.39582036748357</v>
      </c>
      <c r="AZ205" s="1043">
        <f t="shared" si="86"/>
        <v>-381.19124458629415</v>
      </c>
      <c r="BA205" s="241">
        <f t="shared" si="101"/>
        <v>358.39582036748357</v>
      </c>
      <c r="BB205" s="242">
        <f t="shared" si="101"/>
        <v>381.19124458629415</v>
      </c>
      <c r="BC205" s="26">
        <f t="shared" si="102"/>
        <v>0.3</v>
      </c>
      <c r="BE205" s="260">
        <v>25</v>
      </c>
      <c r="BF205" s="261">
        <f t="shared" si="74"/>
        <v>559</v>
      </c>
      <c r="BG205" s="31">
        <f t="shared" si="75"/>
        <v>559</v>
      </c>
      <c r="BH205" s="263">
        <f t="shared" si="71"/>
        <v>331.31692174130797</v>
      </c>
      <c r="BI205" s="264">
        <f t="shared" si="72"/>
        <v>331.31692174130797</v>
      </c>
      <c r="BJ205" s="264">
        <f t="shared" si="76"/>
        <v>12.683078258692063</v>
      </c>
      <c r="BK205" s="264" t="b">
        <f t="shared" si="73"/>
        <v>0</v>
      </c>
      <c r="BL205" s="266">
        <v>25</v>
      </c>
    </row>
    <row r="206" spans="2:109" ht="21" customHeight="1" thickBot="1" x14ac:dyDescent="0.35">
      <c r="B206" s="244">
        <v>5</v>
      </c>
      <c r="C206" s="245"/>
      <c r="D206" s="16">
        <v>1</v>
      </c>
      <c r="E206" s="234" t="s">
        <v>215</v>
      </c>
      <c r="F206" s="235">
        <f t="shared" si="87"/>
        <v>1.3</v>
      </c>
      <c r="G206" s="235">
        <f>+D206+BC206</f>
        <v>1.3</v>
      </c>
      <c r="H206" s="888">
        <v>251.073172</v>
      </c>
      <c r="I206" s="889">
        <v>65.636175100000003</v>
      </c>
      <c r="J206" s="374">
        <f t="shared" si="88"/>
        <v>64.636175100000003</v>
      </c>
      <c r="K206" s="374">
        <f t="shared" si="89"/>
        <v>32.318087550000001</v>
      </c>
      <c r="L206" s="374">
        <f t="shared" si="77"/>
        <v>0.53461916118589337</v>
      </c>
      <c r="M206" s="374">
        <f t="shared" si="78"/>
        <v>134.22852861092153</v>
      </c>
      <c r="N206" s="374">
        <f t="shared" si="79"/>
        <v>268.45705722184306</v>
      </c>
      <c r="O206" s="374">
        <f>+C202+D203+D204+D205+(D206/2)</f>
        <v>5.5</v>
      </c>
      <c r="P206" s="374">
        <f t="shared" si="80"/>
        <v>9.5845752520223898E-2</v>
      </c>
      <c r="Q206" s="374">
        <f t="shared" si="81"/>
        <v>25.730468668792355</v>
      </c>
      <c r="R206" s="374">
        <f t="shared" si="90"/>
        <v>264.78295518204857</v>
      </c>
      <c r="S206" s="374">
        <f t="shared" si="104"/>
        <v>290.51342385084092</v>
      </c>
      <c r="T206" s="375">
        <f t="shared" si="82"/>
        <v>290.51342385084092</v>
      </c>
      <c r="V206" s="929">
        <f t="shared" si="83"/>
        <v>0</v>
      </c>
      <c r="W206" s="340"/>
      <c r="X206" s="340"/>
      <c r="Y206" s="340"/>
      <c r="Z206" s="340"/>
      <c r="AA206" s="340"/>
      <c r="AB206" s="257" t="str">
        <f>IF(AZ206&lt;0,"use the locking pin"," ")</f>
        <v>use the locking pin</v>
      </c>
      <c r="AC206" s="377"/>
      <c r="AD206" s="377"/>
      <c r="AE206" s="377"/>
      <c r="AF206" s="966">
        <f>SUM(V206:V227)/($B$199-B205)</f>
        <v>0</v>
      </c>
      <c r="AG206" s="971"/>
      <c r="AH206" s="353">
        <f>SUM(D203:D206)+$C$202</f>
        <v>6</v>
      </c>
      <c r="AI206" s="944"/>
      <c r="AJ206" s="575">
        <f t="shared" si="92"/>
        <v>69.499008599999996</v>
      </c>
      <c r="AK206" s="944">
        <f t="shared" si="84"/>
        <v>0.93666612940184768</v>
      </c>
      <c r="AL206" s="944">
        <f t="shared" si="93"/>
        <v>272.23533020781213</v>
      </c>
      <c r="AM206" s="968">
        <f t="shared" si="94"/>
        <v>63.181912400000002</v>
      </c>
      <c r="AN206" s="944">
        <f t="shared" si="95"/>
        <v>0.8924434372699539</v>
      </c>
      <c r="AO206" s="969">
        <f t="shared" si="96"/>
        <v>224.06860462595034</v>
      </c>
      <c r="AP206" s="251"/>
      <c r="AQ206" s="347">
        <f t="shared" si="97"/>
        <v>-87.9</v>
      </c>
      <c r="AR206" s="347"/>
      <c r="AS206" s="348">
        <f t="shared" si="98"/>
        <v>496.30393483376247</v>
      </c>
      <c r="AT206" s="348">
        <f t="shared" ref="AT206:AT227" si="106">+V206-AO206</f>
        <v>-224.06860462595034</v>
      </c>
      <c r="AU206" s="348"/>
      <c r="AV206" s="350">
        <f t="shared" si="105"/>
        <v>224.06860462595034</v>
      </c>
      <c r="AW206" s="350">
        <f t="shared" si="99"/>
        <v>-48.215385463913151</v>
      </c>
      <c r="AX206" s="351">
        <f t="shared" si="100"/>
        <v>-39.684614536086862</v>
      </c>
      <c r="AY206" s="351">
        <f t="shared" si="85"/>
        <v>-240.58710489169542</v>
      </c>
      <c r="AZ206" s="1043">
        <f t="shared" si="86"/>
        <v>-251.98682453893022</v>
      </c>
      <c r="BA206" s="241">
        <f t="shared" si="101"/>
        <v>240.58710489169542</v>
      </c>
      <c r="BB206" s="242">
        <f t="shared" si="101"/>
        <v>251.98682453893022</v>
      </c>
      <c r="BC206" s="26">
        <f t="shared" si="102"/>
        <v>0.3</v>
      </c>
      <c r="BE206" s="260">
        <v>26</v>
      </c>
      <c r="BF206" s="261">
        <f t="shared" si="74"/>
        <v>602</v>
      </c>
      <c r="BG206" s="31">
        <f t="shared" si="75"/>
        <v>602</v>
      </c>
      <c r="BH206" s="263">
        <f t="shared" si="71"/>
        <v>374.31692174130797</v>
      </c>
      <c r="BI206" s="264">
        <f t="shared" si="72"/>
        <v>374.31692174130797</v>
      </c>
      <c r="BJ206" s="264">
        <f t="shared" si="76"/>
        <v>12.683078258692063</v>
      </c>
      <c r="BK206" s="264" t="b">
        <f t="shared" si="73"/>
        <v>0</v>
      </c>
      <c r="BL206" s="266">
        <v>26</v>
      </c>
      <c r="DE206" s="267"/>
    </row>
    <row r="207" spans="2:109" ht="21" customHeight="1" thickBot="1" x14ac:dyDescent="0.35">
      <c r="B207" s="244">
        <v>6</v>
      </c>
      <c r="C207" s="245"/>
      <c r="D207" s="16">
        <v>1</v>
      </c>
      <c r="E207" s="234" t="s">
        <v>215</v>
      </c>
      <c r="F207" s="235">
        <f t="shared" si="87"/>
        <v>1.3</v>
      </c>
      <c r="G207" s="235">
        <f t="shared" si="103"/>
        <v>1.3</v>
      </c>
      <c r="H207" s="888">
        <v>251.073172</v>
      </c>
      <c r="I207" s="889">
        <v>65.636175100000003</v>
      </c>
      <c r="J207" s="374">
        <f t="shared" si="88"/>
        <v>64.636175100000003</v>
      </c>
      <c r="K207" s="374">
        <f t="shared" si="89"/>
        <v>32.318087550000001</v>
      </c>
      <c r="L207" s="374">
        <f t="shared" si="77"/>
        <v>0.53461916118589337</v>
      </c>
      <c r="M207" s="374">
        <f t="shared" si="78"/>
        <v>134.22852861092153</v>
      </c>
      <c r="N207" s="374">
        <f t="shared" si="79"/>
        <v>268.45705722184306</v>
      </c>
      <c r="O207" s="374">
        <f>+C202+D203+D204+D205+D206+(D207/2)</f>
        <v>6.5</v>
      </c>
      <c r="P207" s="374">
        <f t="shared" si="80"/>
        <v>0.11320321376790661</v>
      </c>
      <c r="Q207" s="374">
        <f t="shared" si="81"/>
        <v>30.390201636187438</v>
      </c>
      <c r="R207" s="374">
        <f t="shared" si="90"/>
        <v>290.51342385084092</v>
      </c>
      <c r="S207" s="374">
        <f t="shared" si="104"/>
        <v>320.90362548702836</v>
      </c>
      <c r="T207" s="375">
        <f t="shared" si="82"/>
        <v>320.90362548702836</v>
      </c>
      <c r="V207" s="929">
        <f t="shared" si="83"/>
        <v>0</v>
      </c>
      <c r="W207" s="340"/>
      <c r="X207" s="340"/>
      <c r="Y207" s="340"/>
      <c r="Z207" s="340"/>
      <c r="AA207" s="340"/>
      <c r="AB207" s="257" t="str">
        <f t="shared" si="91"/>
        <v>use the locking pin</v>
      </c>
      <c r="AC207" s="377"/>
      <c r="AD207" s="377"/>
      <c r="AE207" s="377"/>
      <c r="AF207" s="966">
        <f>SUM(V207:V227)/($B$199-B206)</f>
        <v>0</v>
      </c>
      <c r="AG207" s="971"/>
      <c r="AH207" s="353">
        <f>SUM(D203:D207)+$C$202</f>
        <v>7</v>
      </c>
      <c r="AI207" s="944"/>
      <c r="AJ207" s="575">
        <f t="shared" si="92"/>
        <v>68.499008599999996</v>
      </c>
      <c r="AK207" s="944">
        <f t="shared" si="84"/>
        <v>0.93041122620083849</v>
      </c>
      <c r="AL207" s="944">
        <f t="shared" si="93"/>
        <v>270.41738720240846</v>
      </c>
      <c r="AM207" s="968">
        <f t="shared" si="94"/>
        <v>64.181912400000002</v>
      </c>
      <c r="AN207" s="944">
        <f t="shared" si="95"/>
        <v>0.90018132923109617</v>
      </c>
      <c r="AO207" s="969">
        <f t="shared" si="96"/>
        <v>226.01138170522765</v>
      </c>
      <c r="AP207" s="251"/>
      <c r="AQ207" s="347">
        <f t="shared" si="97"/>
        <v>-117.2</v>
      </c>
      <c r="AR207" s="347"/>
      <c r="AS207" s="348">
        <f t="shared" si="98"/>
        <v>496.42876890763614</v>
      </c>
      <c r="AT207" s="348">
        <f t="shared" si="106"/>
        <v>-226.01138170522765</v>
      </c>
      <c r="AU207" s="348"/>
      <c r="AV207" s="350">
        <f t="shared" si="105"/>
        <v>226.01138170522765</v>
      </c>
      <c r="AW207" s="350">
        <f t="shared" si="99"/>
        <v>-63.841823369465018</v>
      </c>
      <c r="AX207" s="351">
        <f t="shared" si="100"/>
        <v>-53.358176630534977</v>
      </c>
      <c r="AY207" s="351">
        <f t="shared" si="85"/>
        <v>-181.69907104420483</v>
      </c>
      <c r="AZ207" s="1043">
        <f t="shared" si="86"/>
        <v>-187.4127009482059</v>
      </c>
      <c r="BA207" s="241">
        <f t="shared" si="101"/>
        <v>181.69907104420483</v>
      </c>
      <c r="BB207" s="242">
        <f t="shared" si="101"/>
        <v>187.4127009482059</v>
      </c>
      <c r="BC207" s="26">
        <f t="shared" si="102"/>
        <v>0.3</v>
      </c>
      <c r="BE207" s="260">
        <v>27</v>
      </c>
      <c r="BF207" s="261">
        <f t="shared" si="74"/>
        <v>645</v>
      </c>
      <c r="BG207" s="31">
        <f t="shared" si="75"/>
        <v>645</v>
      </c>
      <c r="BH207" s="263">
        <f t="shared" si="71"/>
        <v>417.31692174130797</v>
      </c>
      <c r="BI207" s="264">
        <f t="shared" si="72"/>
        <v>417.31692174130797</v>
      </c>
      <c r="BJ207" s="264">
        <f t="shared" si="76"/>
        <v>12.683078258692063</v>
      </c>
      <c r="BK207" s="264" t="b">
        <f t="shared" si="73"/>
        <v>0</v>
      </c>
      <c r="BL207" s="266">
        <v>27</v>
      </c>
    </row>
    <row r="208" spans="2:109" ht="21" customHeight="1" thickBot="1" x14ac:dyDescent="0.35">
      <c r="B208" s="244">
        <v>7</v>
      </c>
      <c r="C208" s="245"/>
      <c r="D208" s="16">
        <v>1</v>
      </c>
      <c r="E208" s="234" t="s">
        <v>215</v>
      </c>
      <c r="F208" s="235">
        <f t="shared" si="87"/>
        <v>1.3</v>
      </c>
      <c r="G208" s="235">
        <f t="shared" si="103"/>
        <v>1.3</v>
      </c>
      <c r="H208" s="888">
        <v>251.073172</v>
      </c>
      <c r="I208" s="889">
        <v>65.636175100000003</v>
      </c>
      <c r="J208" s="374">
        <f t="shared" si="88"/>
        <v>64.636175100000003</v>
      </c>
      <c r="K208" s="374">
        <f t="shared" si="89"/>
        <v>32.318087550000001</v>
      </c>
      <c r="L208" s="374">
        <f t="shared" si="77"/>
        <v>0.53461916118589337</v>
      </c>
      <c r="M208" s="374">
        <f t="shared" si="78"/>
        <v>134.22852861092153</v>
      </c>
      <c r="N208" s="374">
        <f t="shared" si="79"/>
        <v>268.45705722184306</v>
      </c>
      <c r="O208" s="374">
        <f>+C202+D203+D204+D205+D206+D207+(D208/2)</f>
        <v>7.5</v>
      </c>
      <c r="P208" s="374">
        <f t="shared" si="80"/>
        <v>0.13052619222005146</v>
      </c>
      <c r="Q208" s="374">
        <f t="shared" si="81"/>
        <v>35.040677453767643</v>
      </c>
      <c r="R208" s="374">
        <f t="shared" si="90"/>
        <v>320.90362548702836</v>
      </c>
      <c r="S208" s="374">
        <f t="shared" si="104"/>
        <v>355.94430294079598</v>
      </c>
      <c r="T208" s="375">
        <f t="shared" si="82"/>
        <v>355.94430294079598</v>
      </c>
      <c r="V208" s="929">
        <f t="shared" si="83"/>
        <v>0</v>
      </c>
      <c r="W208" s="340"/>
      <c r="X208" s="340"/>
      <c r="Y208" s="340"/>
      <c r="Z208" s="340"/>
      <c r="AA208" s="340"/>
      <c r="AB208" s="257" t="str">
        <f t="shared" si="91"/>
        <v>use the locking pin</v>
      </c>
      <c r="AC208" s="377"/>
      <c r="AD208" s="377"/>
      <c r="AE208" s="377"/>
      <c r="AF208" s="966">
        <f>SUM(V208:V227)/($B$199-B207)</f>
        <v>0</v>
      </c>
      <c r="AG208" s="971"/>
      <c r="AH208" s="353">
        <f>SUM(D203:D208)+$C$202</f>
        <v>8</v>
      </c>
      <c r="AI208" s="944"/>
      <c r="AJ208" s="575">
        <f t="shared" si="92"/>
        <v>67.499008599999996</v>
      </c>
      <c r="AK208" s="944">
        <f t="shared" si="84"/>
        <v>0.92387291072723265</v>
      </c>
      <c r="AL208" s="944">
        <f t="shared" si="93"/>
        <v>268.5170724412709</v>
      </c>
      <c r="AM208" s="968">
        <f t="shared" si="94"/>
        <v>65.181912400000002</v>
      </c>
      <c r="AN208" s="944">
        <f t="shared" si="95"/>
        <v>0.9076450172391024</v>
      </c>
      <c r="AO208" s="969">
        <f t="shared" si="96"/>
        <v>227.88531352821613</v>
      </c>
      <c r="AP208" s="251"/>
      <c r="AQ208" s="347">
        <f t="shared" si="97"/>
        <v>-146.5</v>
      </c>
      <c r="AR208" s="347"/>
      <c r="AS208" s="348">
        <f t="shared" si="98"/>
        <v>496.402385969487</v>
      </c>
      <c r="AT208" s="348">
        <f t="shared" si="106"/>
        <v>-227.88531352821613</v>
      </c>
      <c r="AU208" s="348"/>
      <c r="AV208" s="350">
        <f t="shared" si="105"/>
        <v>227.88531352821613</v>
      </c>
      <c r="AW208" s="350">
        <f t="shared" si="99"/>
        <v>-79.245693059711073</v>
      </c>
      <c r="AX208" s="351">
        <f t="shared" si="100"/>
        <v>-67.254306940288956</v>
      </c>
      <c r="AY208" s="351">
        <f t="shared" si="85"/>
        <v>-146.38019496226099</v>
      </c>
      <c r="AZ208" s="1043">
        <f t="shared" si="86"/>
        <v>-148.68936213822553</v>
      </c>
      <c r="BA208" s="241">
        <f t="shared" si="101"/>
        <v>146.38019496226099</v>
      </c>
      <c r="BB208" s="242">
        <f t="shared" si="101"/>
        <v>148.68936213822553</v>
      </c>
      <c r="BC208" s="26">
        <f t="shared" si="102"/>
        <v>0.3</v>
      </c>
      <c r="BE208" s="260">
        <v>28</v>
      </c>
      <c r="BF208" s="261">
        <f t="shared" si="74"/>
        <v>688</v>
      </c>
      <c r="BG208" s="31">
        <f t="shared" si="75"/>
        <v>688</v>
      </c>
      <c r="BH208" s="263">
        <f t="shared" si="71"/>
        <v>460.31692174130797</v>
      </c>
      <c r="BI208" s="264">
        <f t="shared" si="72"/>
        <v>460.31692174130797</v>
      </c>
      <c r="BJ208" s="264">
        <f t="shared" si="76"/>
        <v>12.683078258692063</v>
      </c>
      <c r="BK208" s="264" t="b">
        <f t="shared" si="73"/>
        <v>0</v>
      </c>
      <c r="BL208" s="266">
        <v>28</v>
      </c>
      <c r="DE208" s="269"/>
    </row>
    <row r="209" spans="1:129" ht="21" customHeight="1" thickBot="1" x14ac:dyDescent="0.35">
      <c r="B209" s="244">
        <v>8</v>
      </c>
      <c r="C209" s="245"/>
      <c r="D209" s="16">
        <v>1</v>
      </c>
      <c r="E209" s="234" t="s">
        <v>215</v>
      </c>
      <c r="F209" s="235">
        <f t="shared" si="87"/>
        <v>1.3</v>
      </c>
      <c r="G209" s="235">
        <f t="shared" si="103"/>
        <v>1.3</v>
      </c>
      <c r="H209" s="888">
        <v>251.073172</v>
      </c>
      <c r="I209" s="889">
        <v>65.636175100000003</v>
      </c>
      <c r="J209" s="374">
        <f t="shared" si="88"/>
        <v>64.636175100000003</v>
      </c>
      <c r="K209" s="374">
        <f t="shared" si="89"/>
        <v>32.318087550000001</v>
      </c>
      <c r="L209" s="374">
        <f t="shared" si="77"/>
        <v>0.53461916118589337</v>
      </c>
      <c r="M209" s="374">
        <f t="shared" si="78"/>
        <v>134.22852861092153</v>
      </c>
      <c r="N209" s="374">
        <f t="shared" si="79"/>
        <v>268.45705722184306</v>
      </c>
      <c r="O209" s="374">
        <f>+C202+D203+D204+D205+D206+D207+D208+(D209/2)</f>
        <v>8.5</v>
      </c>
      <c r="P209" s="374">
        <f t="shared" si="80"/>
        <v>0.14780941112961046</v>
      </c>
      <c r="Q209" s="374">
        <f t="shared" si="81"/>
        <v>39.680479541548763</v>
      </c>
      <c r="R209" s="374">
        <f t="shared" si="90"/>
        <v>355.94430294079598</v>
      </c>
      <c r="S209" s="374">
        <f t="shared" si="104"/>
        <v>395.62478248234476</v>
      </c>
      <c r="T209" s="375">
        <f t="shared" si="82"/>
        <v>395.62478248234476</v>
      </c>
      <c r="V209" s="929">
        <f t="shared" si="83"/>
        <v>0</v>
      </c>
      <c r="W209" s="340"/>
      <c r="X209" s="340"/>
      <c r="Y209" s="340"/>
      <c r="Z209" s="340"/>
      <c r="AA209" s="340"/>
      <c r="AB209" s="257" t="str">
        <f t="shared" si="91"/>
        <v>use the locking pin</v>
      </c>
      <c r="AC209" s="377"/>
      <c r="AD209" s="377"/>
      <c r="AE209" s="377"/>
      <c r="AF209" s="966">
        <f>SUM(V209:V227)/($B$199-B208)</f>
        <v>0</v>
      </c>
      <c r="AG209" s="971"/>
      <c r="AH209" s="353">
        <f>SUM(D203:D209)+$C$202</f>
        <v>9</v>
      </c>
      <c r="AI209" s="944"/>
      <c r="AJ209" s="575">
        <f t="shared" si="92"/>
        <v>66.499008599999996</v>
      </c>
      <c r="AK209" s="944">
        <f t="shared" si="84"/>
        <v>0.91705317461526137</v>
      </c>
      <c r="AL209" s="944">
        <f t="shared" si="93"/>
        <v>266.53496477868435</v>
      </c>
      <c r="AM209" s="968">
        <f t="shared" si="94"/>
        <v>66.181912400000002</v>
      </c>
      <c r="AN209" s="944">
        <f t="shared" si="95"/>
        <v>0.91483222778230289</v>
      </c>
      <c r="AO209" s="969">
        <f t="shared" si="96"/>
        <v>229.68982927712932</v>
      </c>
      <c r="AP209" s="251"/>
      <c r="AQ209" s="347">
        <f t="shared" si="97"/>
        <v>-175.8</v>
      </c>
      <c r="AR209" s="347"/>
      <c r="AS209" s="348">
        <f t="shared" si="98"/>
        <v>496.22479405581367</v>
      </c>
      <c r="AT209" s="348">
        <f t="shared" si="106"/>
        <v>-229.68982927712932</v>
      </c>
      <c r="AU209" s="348"/>
      <c r="AV209" s="350">
        <f t="shared" si="105"/>
        <v>229.68982927712932</v>
      </c>
      <c r="AW209" s="350">
        <f t="shared" si="99"/>
        <v>-94.426653745202444</v>
      </c>
      <c r="AX209" s="351">
        <f t="shared" si="100"/>
        <v>-81.373346254797568</v>
      </c>
      <c r="AY209" s="351">
        <f t="shared" si="85"/>
        <v>-122.84667029820872</v>
      </c>
      <c r="AZ209" s="1043">
        <f t="shared" si="86"/>
        <v>-122.89036226540118</v>
      </c>
      <c r="BA209" s="241">
        <f t="shared" si="101"/>
        <v>122.84667029820872</v>
      </c>
      <c r="BB209" s="242">
        <f t="shared" si="101"/>
        <v>122.89036226540118</v>
      </c>
      <c r="BC209" s="26">
        <f t="shared" si="102"/>
        <v>0.3</v>
      </c>
      <c r="BE209" s="260">
        <v>29</v>
      </c>
      <c r="BF209" s="261">
        <f t="shared" si="74"/>
        <v>731</v>
      </c>
      <c r="BG209" s="31">
        <f t="shared" si="75"/>
        <v>731</v>
      </c>
      <c r="BH209" s="263">
        <f t="shared" si="71"/>
        <v>503.31692174130797</v>
      </c>
      <c r="BI209" s="264">
        <f t="shared" si="72"/>
        <v>503.31692174130797</v>
      </c>
      <c r="BJ209" s="264">
        <f t="shared" si="76"/>
        <v>12.683078258692063</v>
      </c>
      <c r="BK209" s="264" t="b">
        <f t="shared" si="73"/>
        <v>0</v>
      </c>
      <c r="BL209" s="266">
        <v>29</v>
      </c>
    </row>
    <row r="210" spans="1:129" ht="21" customHeight="1" thickBot="1" x14ac:dyDescent="0.35">
      <c r="B210" s="244">
        <v>9</v>
      </c>
      <c r="C210" s="245"/>
      <c r="D210" s="16">
        <v>1</v>
      </c>
      <c r="E210" s="234" t="s">
        <v>215</v>
      </c>
      <c r="F210" s="235">
        <f t="shared" si="87"/>
        <v>1.3</v>
      </c>
      <c r="G210" s="235">
        <f t="shared" si="103"/>
        <v>1.3</v>
      </c>
      <c r="H210" s="888">
        <v>251.073172</v>
      </c>
      <c r="I210" s="889">
        <v>65.636175100000003</v>
      </c>
      <c r="J210" s="374">
        <f t="shared" si="88"/>
        <v>64.636175100000003</v>
      </c>
      <c r="K210" s="374">
        <f t="shared" si="89"/>
        <v>32.318087550000001</v>
      </c>
      <c r="L210" s="374">
        <f t="shared" si="77"/>
        <v>0.53461916118589337</v>
      </c>
      <c r="M210" s="374">
        <f t="shared" si="78"/>
        <v>134.22852861092153</v>
      </c>
      <c r="N210" s="374">
        <f t="shared" si="79"/>
        <v>268.45705722184306</v>
      </c>
      <c r="O210" s="374">
        <f>+C202+D203+D204+D205+D206+D207+D208+D209+(D210/2)</f>
        <v>9.5</v>
      </c>
      <c r="P210" s="374">
        <f t="shared" si="80"/>
        <v>0.16504760586067749</v>
      </c>
      <c r="Q210" s="374">
        <f t="shared" si="81"/>
        <v>44.308194570868096</v>
      </c>
      <c r="R210" s="374">
        <f t="shared" si="90"/>
        <v>395.62478248234476</v>
      </c>
      <c r="S210" s="374">
        <f t="shared" si="104"/>
        <v>439.93297705321288</v>
      </c>
      <c r="T210" s="375">
        <f t="shared" si="82"/>
        <v>439.93297705321288</v>
      </c>
      <c r="V210" s="929">
        <f t="shared" si="83"/>
        <v>0</v>
      </c>
      <c r="W210" s="340"/>
      <c r="X210" s="340"/>
      <c r="Y210" s="340"/>
      <c r="Z210" s="340"/>
      <c r="AA210" s="340"/>
      <c r="AB210" s="257" t="str">
        <f t="shared" si="91"/>
        <v>use the locking pin</v>
      </c>
      <c r="AC210" s="377"/>
      <c r="AD210" s="377"/>
      <c r="AE210" s="377"/>
      <c r="AF210" s="966">
        <f>SUM(V210:V227)/($B$199-B209)</f>
        <v>0</v>
      </c>
      <c r="AG210" s="971"/>
      <c r="AH210" s="353">
        <f>SUM(D203:D210)+$C$202</f>
        <v>10</v>
      </c>
      <c r="AI210" s="944"/>
      <c r="AJ210" s="575">
        <f t="shared" si="92"/>
        <v>65.499008599999996</v>
      </c>
      <c r="AK210" s="944">
        <f t="shared" si="84"/>
        <v>0.90995409522260873</v>
      </c>
      <c r="AL210" s="944">
        <f t="shared" si="93"/>
        <v>264.4716679838441</v>
      </c>
      <c r="AM210" s="968">
        <f t="shared" si="94"/>
        <v>67.181912400000002</v>
      </c>
      <c r="AN210" s="944">
        <f t="shared" si="95"/>
        <v>0.92174077156674206</v>
      </c>
      <c r="AO210" s="969">
        <f t="shared" si="96"/>
        <v>231.42437927898933</v>
      </c>
      <c r="AP210" s="251"/>
      <c r="AQ210" s="347">
        <f t="shared" si="97"/>
        <v>-205.1</v>
      </c>
      <c r="AR210" s="347"/>
      <c r="AS210" s="348">
        <f t="shared" si="98"/>
        <v>495.89604726283346</v>
      </c>
      <c r="AT210" s="348">
        <f t="shared" si="106"/>
        <v>-231.42437927898933</v>
      </c>
      <c r="AU210" s="348"/>
      <c r="AV210" s="350">
        <f t="shared" si="105"/>
        <v>231.42437927898933</v>
      </c>
      <c r="AW210" s="350">
        <f t="shared" si="99"/>
        <v>-109.38409249859703</v>
      </c>
      <c r="AX210" s="351">
        <f t="shared" si="100"/>
        <v>-95.715907501402938</v>
      </c>
      <c r="AY210" s="351">
        <f t="shared" si="85"/>
        <v>-106.04832690958955</v>
      </c>
      <c r="AZ210" s="1043">
        <f t="shared" si="86"/>
        <v>-104.47584169698675</v>
      </c>
      <c r="BA210" s="241">
        <f t="shared" si="101"/>
        <v>106.04832690958955</v>
      </c>
      <c r="BB210" s="242">
        <f t="shared" si="101"/>
        <v>104.47584169698675</v>
      </c>
      <c r="BC210" s="26">
        <f t="shared" si="102"/>
        <v>0.3</v>
      </c>
      <c r="BE210" s="260">
        <v>30</v>
      </c>
      <c r="BF210" s="261">
        <f t="shared" si="74"/>
        <v>774</v>
      </c>
      <c r="BG210" s="31">
        <f t="shared" si="75"/>
        <v>774</v>
      </c>
      <c r="BH210" s="263">
        <f t="shared" si="71"/>
        <v>546.31692174130797</v>
      </c>
      <c r="BI210" s="264">
        <f t="shared" si="72"/>
        <v>546.31692174130797</v>
      </c>
      <c r="BJ210" s="264">
        <f t="shared" si="76"/>
        <v>12.683078258692063</v>
      </c>
      <c r="BK210" s="264" t="b">
        <f t="shared" si="73"/>
        <v>0</v>
      </c>
      <c r="BL210" s="266">
        <v>30</v>
      </c>
    </row>
    <row r="211" spans="1:129" ht="21" customHeight="1" thickBot="1" x14ac:dyDescent="0.35">
      <c r="B211" s="244">
        <v>10</v>
      </c>
      <c r="C211" s="245"/>
      <c r="D211" s="16">
        <v>1</v>
      </c>
      <c r="E211" s="234" t="s">
        <v>215</v>
      </c>
      <c r="F211" s="235">
        <f t="shared" si="87"/>
        <v>1.3</v>
      </c>
      <c r="G211" s="235">
        <f t="shared" si="103"/>
        <v>1.3</v>
      </c>
      <c r="H211" s="888">
        <v>251.073172</v>
      </c>
      <c r="I211" s="889">
        <v>65.636175100000003</v>
      </c>
      <c r="J211" s="374">
        <f t="shared" si="88"/>
        <v>64.636175100000003</v>
      </c>
      <c r="K211" s="374">
        <f t="shared" si="89"/>
        <v>32.318087550000001</v>
      </c>
      <c r="L211" s="374">
        <f t="shared" si="77"/>
        <v>0.53461916118589337</v>
      </c>
      <c r="M211" s="374">
        <f t="shared" si="78"/>
        <v>134.22852861092153</v>
      </c>
      <c r="N211" s="374">
        <f t="shared" si="79"/>
        <v>268.45705722184306</v>
      </c>
      <c r="O211" s="374">
        <f>+C202+D203+D204+D205+D206+D207+D208+D209+D210+(D211/2)</f>
        <v>10.5</v>
      </c>
      <c r="P211" s="374">
        <f t="shared" si="80"/>
        <v>0.18223552549214728</v>
      </c>
      <c r="Q211" s="374">
        <f t="shared" si="81"/>
        <v>48.922412894898024</v>
      </c>
      <c r="R211" s="374">
        <f t="shared" si="90"/>
        <v>439.93297705321288</v>
      </c>
      <c r="S211" s="374">
        <f t="shared" si="104"/>
        <v>488.85538994811088</v>
      </c>
      <c r="T211" s="375">
        <f t="shared" si="82"/>
        <v>488.85538994811088</v>
      </c>
      <c r="V211" s="929">
        <f t="shared" si="83"/>
        <v>0</v>
      </c>
      <c r="W211" s="340"/>
      <c r="X211" s="340"/>
      <c r="Y211" s="340"/>
      <c r="Z211" s="340"/>
      <c r="AA211" s="340"/>
      <c r="AB211" s="257" t="str">
        <f t="shared" si="91"/>
        <v>use the locking pin</v>
      </c>
      <c r="AC211" s="377"/>
      <c r="AD211" s="377"/>
      <c r="AE211" s="377"/>
      <c r="AF211" s="966">
        <f>SUM(V211:V227)/($B$199-B210)</f>
        <v>0</v>
      </c>
      <c r="AG211" s="971"/>
      <c r="AH211" s="353">
        <f>SUM(D203:D211)+$C$202</f>
        <v>11</v>
      </c>
      <c r="AI211" s="944"/>
      <c r="AJ211" s="575">
        <f t="shared" si="92"/>
        <v>64.499008599999996</v>
      </c>
      <c r="AK211" s="944">
        <f t="shared" si="84"/>
        <v>0.902577834997628</v>
      </c>
      <c r="AL211" s="944">
        <f t="shared" si="93"/>
        <v>262.32781055694142</v>
      </c>
      <c r="AM211" s="968">
        <f t="shared" si="94"/>
        <v>68.181912400000002</v>
      </c>
      <c r="AN211" s="944">
        <f t="shared" si="95"/>
        <v>0.9283685441830587</v>
      </c>
      <c r="AO211" s="969">
        <f t="shared" si="96"/>
        <v>233.08843517306269</v>
      </c>
      <c r="AP211" s="251"/>
      <c r="AQ211" s="347">
        <f t="shared" si="97"/>
        <v>-234.4</v>
      </c>
      <c r="AR211" s="347"/>
      <c r="AS211" s="348">
        <f t="shared" si="98"/>
        <v>495.41624573000411</v>
      </c>
      <c r="AT211" s="348">
        <f t="shared" si="106"/>
        <v>-233.08843517306269</v>
      </c>
      <c r="AU211" s="348"/>
      <c r="AV211" s="350">
        <f t="shared" si="105"/>
        <v>233.08843517306269</v>
      </c>
      <c r="AW211" s="350">
        <f t="shared" si="99"/>
        <v>-124.11712236836533</v>
      </c>
      <c r="AX211" s="351">
        <f t="shared" si="100"/>
        <v>-110.28287763163468</v>
      </c>
      <c r="AY211" s="351">
        <f t="shared" si="85"/>
        <v>-93.460110729706855</v>
      </c>
      <c r="AZ211" s="1043">
        <f t="shared" si="86"/>
        <v>-90.675907400619892</v>
      </c>
      <c r="BA211" s="241">
        <f t="shared" si="101"/>
        <v>93.460110729706855</v>
      </c>
      <c r="BB211" s="242">
        <f t="shared" si="101"/>
        <v>90.675907400619892</v>
      </c>
      <c r="BC211" s="26">
        <f t="shared" si="102"/>
        <v>0.3</v>
      </c>
      <c r="BE211" s="260">
        <v>31</v>
      </c>
      <c r="BF211" s="261">
        <f t="shared" si="74"/>
        <v>817</v>
      </c>
      <c r="BG211" s="31">
        <f t="shared" si="75"/>
        <v>817</v>
      </c>
      <c r="BH211" s="263">
        <f t="shared" si="71"/>
        <v>589.31692174130797</v>
      </c>
      <c r="BI211" s="264">
        <f t="shared" si="72"/>
        <v>589.31692174130797</v>
      </c>
      <c r="BJ211" s="264">
        <f t="shared" si="76"/>
        <v>12.683078258692063</v>
      </c>
      <c r="BK211" s="264" t="b">
        <f t="shared" si="73"/>
        <v>0</v>
      </c>
      <c r="BL211" s="266">
        <v>31</v>
      </c>
    </row>
    <row r="212" spans="1:129" ht="21" customHeight="1" thickBot="1" x14ac:dyDescent="0.35">
      <c r="A212" s="258"/>
      <c r="B212" s="244">
        <v>11</v>
      </c>
      <c r="C212" s="245"/>
      <c r="D212" s="16">
        <v>1</v>
      </c>
      <c r="E212" s="234" t="s">
        <v>215</v>
      </c>
      <c r="F212" s="235">
        <f t="shared" si="87"/>
        <v>1.3</v>
      </c>
      <c r="G212" s="235">
        <f t="shared" si="103"/>
        <v>1.3</v>
      </c>
      <c r="H212" s="888">
        <v>251.073172</v>
      </c>
      <c r="I212" s="889">
        <v>65.636175100000003</v>
      </c>
      <c r="J212" s="374">
        <f t="shared" si="88"/>
        <v>64.636175100000003</v>
      </c>
      <c r="K212" s="374">
        <f t="shared" si="89"/>
        <v>32.318087550000001</v>
      </c>
      <c r="L212" s="374">
        <f t="shared" si="77"/>
        <v>0.53461916118589337</v>
      </c>
      <c r="M212" s="374">
        <f t="shared" si="78"/>
        <v>134.22852861092153</v>
      </c>
      <c r="N212" s="374">
        <f t="shared" si="79"/>
        <v>268.45705722184306</v>
      </c>
      <c r="O212" s="374">
        <f>+C202+D203+D204+D205+D206+D207+D208+D209+D210+D211+(D212/2)</f>
        <v>11.5</v>
      </c>
      <c r="P212" s="374">
        <f t="shared" si="80"/>
        <v>0.19936793441719697</v>
      </c>
      <c r="Q212" s="374">
        <f t="shared" si="81"/>
        <v>53.521728978038098</v>
      </c>
      <c r="R212" s="374">
        <f t="shared" si="90"/>
        <v>488.85538994811088</v>
      </c>
      <c r="S212" s="374">
        <f t="shared" si="104"/>
        <v>542.37711892614902</v>
      </c>
      <c r="T212" s="375">
        <f t="shared" si="82"/>
        <v>542.37711892614902</v>
      </c>
      <c r="V212" s="929">
        <f t="shared" si="83"/>
        <v>0</v>
      </c>
      <c r="W212" s="340"/>
      <c r="X212" s="340"/>
      <c r="Y212" s="340"/>
      <c r="Z212" s="340"/>
      <c r="AA212" s="340"/>
      <c r="AB212" s="257" t="str">
        <f t="shared" si="91"/>
        <v>use the locking pin</v>
      </c>
      <c r="AC212" s="377"/>
      <c r="AD212" s="377"/>
      <c r="AE212" s="377"/>
      <c r="AF212" s="966">
        <f>SUM(V212:V227)/($B$199-B211)</f>
        <v>0</v>
      </c>
      <c r="AG212" s="971"/>
      <c r="AH212" s="353">
        <f>SUM(D203:D212)+$C$202</f>
        <v>12</v>
      </c>
      <c r="AI212" s="944"/>
      <c r="AJ212" s="575">
        <f t="shared" si="92"/>
        <v>63.499008599999996</v>
      </c>
      <c r="AK212" s="944">
        <f t="shared" si="84"/>
        <v>0.89492664082063922</v>
      </c>
      <c r="AL212" s="944">
        <f t="shared" si="93"/>
        <v>260.1040455377165</v>
      </c>
      <c r="AM212" s="968">
        <f t="shared" si="94"/>
        <v>69.181912400000002</v>
      </c>
      <c r="AN212" s="944">
        <f t="shared" si="95"/>
        <v>0.93471352674750907</v>
      </c>
      <c r="AO212" s="969">
        <f t="shared" si="96"/>
        <v>234.68149007180395</v>
      </c>
      <c r="AP212" s="251"/>
      <c r="AQ212" s="347">
        <f t="shared" si="97"/>
        <v>-263.7</v>
      </c>
      <c r="AR212" s="347"/>
      <c r="AS212" s="348">
        <f t="shared" si="98"/>
        <v>494.78553560952048</v>
      </c>
      <c r="AT212" s="348">
        <f t="shared" si="106"/>
        <v>-234.68149007180395</v>
      </c>
      <c r="AU212" s="348"/>
      <c r="AV212" s="350">
        <f t="shared" si="105"/>
        <v>234.68149007180395</v>
      </c>
      <c r="AW212" s="350">
        <f t="shared" si="99"/>
        <v>-138.62457948331354</v>
      </c>
      <c r="AX212" s="351">
        <f t="shared" si="100"/>
        <v>-125.07542051668642</v>
      </c>
      <c r="AY212" s="351">
        <f t="shared" si="85"/>
        <v>-83.679243920781815</v>
      </c>
      <c r="AZ212" s="1043">
        <f t="shared" si="86"/>
        <v>-79.951759975621201</v>
      </c>
      <c r="BA212" s="241">
        <f t="shared" si="101"/>
        <v>83.679243920781815</v>
      </c>
      <c r="BB212" s="242">
        <f t="shared" si="101"/>
        <v>79.951759975621201</v>
      </c>
      <c r="BC212" s="26">
        <f t="shared" si="102"/>
        <v>0.3</v>
      </c>
      <c r="BE212" s="260">
        <v>32</v>
      </c>
      <c r="BF212" s="261">
        <f t="shared" si="74"/>
        <v>860</v>
      </c>
      <c r="BG212" s="31">
        <f t="shared" si="75"/>
        <v>860</v>
      </c>
      <c r="BH212" s="263">
        <f t="shared" si="71"/>
        <v>632.31692174130797</v>
      </c>
      <c r="BI212" s="264">
        <f t="shared" si="72"/>
        <v>632.31692174130797</v>
      </c>
      <c r="BJ212" s="264">
        <f t="shared" si="76"/>
        <v>12.683078258692063</v>
      </c>
      <c r="BK212" s="264" t="b">
        <f t="shared" si="73"/>
        <v>0</v>
      </c>
      <c r="BL212" s="266">
        <v>32</v>
      </c>
    </row>
    <row r="213" spans="1:129" ht="21" customHeight="1" thickBot="1" x14ac:dyDescent="0.35">
      <c r="A213" s="258"/>
      <c r="B213" s="244">
        <v>12</v>
      </c>
      <c r="C213" s="245"/>
      <c r="D213" s="16">
        <v>1</v>
      </c>
      <c r="E213" s="234" t="s">
        <v>215</v>
      </c>
      <c r="F213" s="235">
        <f t="shared" si="87"/>
        <v>1.3</v>
      </c>
      <c r="G213" s="235">
        <f t="shared" si="103"/>
        <v>1.3</v>
      </c>
      <c r="H213" s="888">
        <v>251.073172</v>
      </c>
      <c r="I213" s="889">
        <v>65.636175100000003</v>
      </c>
      <c r="J213" s="374">
        <f t="shared" si="88"/>
        <v>64.636175100000003</v>
      </c>
      <c r="K213" s="374">
        <f t="shared" si="89"/>
        <v>32.318087550000001</v>
      </c>
      <c r="L213" s="374">
        <f t="shared" si="77"/>
        <v>0.53461916118589337</v>
      </c>
      <c r="M213" s="374">
        <f t="shared" si="78"/>
        <v>134.22852861092153</v>
      </c>
      <c r="N213" s="374">
        <f t="shared" si="79"/>
        <v>268.45705722184306</v>
      </c>
      <c r="O213" s="374">
        <f>+C202+D203+D204+D205+D206+D207+D208+D209+D210+D211+D212+(D213/2)</f>
        <v>12.5</v>
      </c>
      <c r="P213" s="374">
        <f t="shared" si="80"/>
        <v>0.21643961393810265</v>
      </c>
      <c r="Q213" s="374">
        <f t="shared" si="81"/>
        <v>58.104741824054848</v>
      </c>
      <c r="R213" s="374">
        <f t="shared" si="90"/>
        <v>542.37711892614902</v>
      </c>
      <c r="S213" s="374">
        <f t="shared" si="104"/>
        <v>600.48186075020385</v>
      </c>
      <c r="T213" s="375">
        <f t="shared" si="82"/>
        <v>600.48186075020385</v>
      </c>
      <c r="V213" s="929">
        <f t="shared" si="83"/>
        <v>0</v>
      </c>
      <c r="W213" s="340"/>
      <c r="X213" s="340"/>
      <c r="Y213" s="340"/>
      <c r="Z213" s="340"/>
      <c r="AA213" s="340"/>
      <c r="AB213" s="257" t="str">
        <f t="shared" si="91"/>
        <v>use the locking pin</v>
      </c>
      <c r="AC213" s="377"/>
      <c r="AD213" s="377"/>
      <c r="AE213" s="377"/>
      <c r="AF213" s="966">
        <f>SUM(V213:V227)/($B$199-B212)</f>
        <v>0</v>
      </c>
      <c r="AG213" s="971"/>
      <c r="AH213" s="353">
        <f>SUM(D203:D213)+$C$202</f>
        <v>13</v>
      </c>
      <c r="AI213" s="944"/>
      <c r="AJ213" s="575">
        <f t="shared" si="92"/>
        <v>62.499008599999996</v>
      </c>
      <c r="AK213" s="944">
        <f t="shared" si="84"/>
        <v>0.88700284331950752</v>
      </c>
      <c r="AL213" s="944">
        <f t="shared" si="93"/>
        <v>257.8010503065363</v>
      </c>
      <c r="AM213" s="968">
        <f t="shared" si="94"/>
        <v>70.181912400000002</v>
      </c>
      <c r="AN213" s="944">
        <f t="shared" si="95"/>
        <v>0.94077378651693899</v>
      </c>
      <c r="AO213" s="969">
        <f t="shared" si="96"/>
        <v>236.20305871525869</v>
      </c>
      <c r="AP213" s="251"/>
      <c r="AQ213" s="347">
        <f t="shared" si="97"/>
        <v>-293</v>
      </c>
      <c r="AR213" s="347"/>
      <c r="AS213" s="348">
        <f t="shared" si="98"/>
        <v>494.00410902179499</v>
      </c>
      <c r="AT213" s="348">
        <f t="shared" si="106"/>
        <v>-236.20305871525869</v>
      </c>
      <c r="AU213" s="348"/>
      <c r="AV213" s="350">
        <f t="shared" si="105"/>
        <v>236.20305871525869</v>
      </c>
      <c r="AW213" s="350">
        <f t="shared" si="99"/>
        <v>-152.90501912906674</v>
      </c>
      <c r="AX213" s="351">
        <f t="shared" si="100"/>
        <v>-140.09498087093326</v>
      </c>
      <c r="AY213" s="351">
        <f t="shared" si="85"/>
        <v>-75.864089132407543</v>
      </c>
      <c r="AZ213" s="1043">
        <f t="shared" si="86"/>
        <v>-71.38014465495236</v>
      </c>
      <c r="BA213" s="241">
        <f t="shared" si="101"/>
        <v>75.864089132407543</v>
      </c>
      <c r="BB213" s="242">
        <f t="shared" si="101"/>
        <v>71.38014465495236</v>
      </c>
      <c r="BC213" s="26">
        <f t="shared" si="102"/>
        <v>0.3</v>
      </c>
      <c r="BE213" s="260">
        <v>33</v>
      </c>
      <c r="BF213" s="261">
        <f t="shared" si="74"/>
        <v>903</v>
      </c>
      <c r="BG213" s="31">
        <f t="shared" si="75"/>
        <v>903</v>
      </c>
      <c r="BH213" s="263">
        <f t="shared" si="71"/>
        <v>675.31692174130797</v>
      </c>
      <c r="BI213" s="264">
        <f t="shared" si="72"/>
        <v>675.31692174130797</v>
      </c>
      <c r="BJ213" s="264">
        <f t="shared" si="76"/>
        <v>12.683078258692063</v>
      </c>
      <c r="BK213" s="264" t="b">
        <f t="shared" si="73"/>
        <v>0</v>
      </c>
      <c r="BL213" s="266">
        <v>33</v>
      </c>
    </row>
    <row r="214" spans="1:129" ht="21" customHeight="1" thickBot="1" x14ac:dyDescent="0.35">
      <c r="B214" s="244">
        <v>13</v>
      </c>
      <c r="C214" s="245"/>
      <c r="D214" s="16">
        <v>1</v>
      </c>
      <c r="E214" s="234" t="s">
        <v>215</v>
      </c>
      <c r="F214" s="235">
        <f t="shared" si="87"/>
        <v>1.3</v>
      </c>
      <c r="G214" s="235">
        <f t="shared" si="103"/>
        <v>1.3</v>
      </c>
      <c r="H214" s="888">
        <v>251.073172</v>
      </c>
      <c r="I214" s="889">
        <v>65.636175100000003</v>
      </c>
      <c r="J214" s="374">
        <f t="shared" si="88"/>
        <v>64.636175100000003</v>
      </c>
      <c r="K214" s="374">
        <f t="shared" si="89"/>
        <v>32.318087550000001</v>
      </c>
      <c r="L214" s="374">
        <f t="shared" si="77"/>
        <v>0.53461916118589337</v>
      </c>
      <c r="M214" s="374">
        <f t="shared" si="78"/>
        <v>134.22852861092153</v>
      </c>
      <c r="N214" s="374">
        <f t="shared" si="79"/>
        <v>268.45705722184306</v>
      </c>
      <c r="O214" s="374">
        <f>+C202+D203+D204+D205+D206+D207+D208+D209+D210+D211+D212+D213+(D214/2)</f>
        <v>13.5</v>
      </c>
      <c r="P214" s="374">
        <f t="shared" si="80"/>
        <v>0.23344536385590517</v>
      </c>
      <c r="Q214" s="374">
        <f t="shared" si="81"/>
        <v>62.670055402838706</v>
      </c>
      <c r="R214" s="374">
        <f t="shared" si="90"/>
        <v>600.48186075020385</v>
      </c>
      <c r="S214" s="374">
        <f t="shared" si="104"/>
        <v>663.15191615304252</v>
      </c>
      <c r="T214" s="375">
        <f t="shared" si="82"/>
        <v>663.15191615304252</v>
      </c>
      <c r="V214" s="929">
        <f t="shared" si="83"/>
        <v>0</v>
      </c>
      <c r="W214" s="340"/>
      <c r="X214" s="340"/>
      <c r="Y214" s="340"/>
      <c r="Z214" s="340"/>
      <c r="AA214" s="340"/>
      <c r="AB214" s="257" t="str">
        <f t="shared" si="91"/>
        <v>use the locking pin</v>
      </c>
      <c r="AC214" s="377"/>
      <c r="AD214" s="377"/>
      <c r="AE214" s="377"/>
      <c r="AF214" s="966">
        <f>SUM(V214:V227)/($B$199-B213)</f>
        <v>0</v>
      </c>
      <c r="AG214" s="971"/>
      <c r="AH214" s="353">
        <f>SUM(D203:D214)+$C$202</f>
        <v>14</v>
      </c>
      <c r="AI214" s="944"/>
      <c r="AJ214" s="575">
        <f t="shared" si="92"/>
        <v>61.499008599999996</v>
      </c>
      <c r="AK214" s="944">
        <f t="shared" si="84"/>
        <v>0.87880885615971105</v>
      </c>
      <c r="AL214" s="944">
        <f t="shared" si="93"/>
        <v>255.4195263780579</v>
      </c>
      <c r="AM214" s="968">
        <f t="shared" si="94"/>
        <v>71.181912400000002</v>
      </c>
      <c r="AN214" s="944">
        <f t="shared" si="95"/>
        <v>0.94654747747751544</v>
      </c>
      <c r="AO214" s="969">
        <f t="shared" si="96"/>
        <v>237.65267761887836</v>
      </c>
      <c r="AP214" s="251"/>
      <c r="AQ214" s="347">
        <f t="shared" si="97"/>
        <v>-322.3</v>
      </c>
      <c r="AR214" s="347"/>
      <c r="AS214" s="348">
        <f t="shared" si="98"/>
        <v>493.07220399693625</v>
      </c>
      <c r="AT214" s="348">
        <f t="shared" si="106"/>
        <v>-237.65267761887836</v>
      </c>
      <c r="AU214" s="348"/>
      <c r="AV214" s="350">
        <f t="shared" si="105"/>
        <v>237.65267761887836</v>
      </c>
      <c r="AW214" s="350">
        <f t="shared" si="99"/>
        <v>-166.95671077041604</v>
      </c>
      <c r="AX214" s="351">
        <f t="shared" si="100"/>
        <v>-155.34328922958397</v>
      </c>
      <c r="AY214" s="351">
        <f t="shared" si="85"/>
        <v>-69.479088001148298</v>
      </c>
      <c r="AZ214" s="1043">
        <f t="shared" si="86"/>
        <v>-64.373556460626133</v>
      </c>
      <c r="BA214" s="241">
        <f t="shared" si="101"/>
        <v>69.479088001148298</v>
      </c>
      <c r="BB214" s="242">
        <f t="shared" si="101"/>
        <v>64.373556460626133</v>
      </c>
      <c r="BC214" s="26">
        <f t="shared" si="102"/>
        <v>0.3</v>
      </c>
      <c r="BE214" s="260">
        <v>34</v>
      </c>
      <c r="BF214" s="261">
        <f t="shared" si="74"/>
        <v>946</v>
      </c>
      <c r="BG214" s="31">
        <f t="shared" si="75"/>
        <v>946</v>
      </c>
      <c r="BH214" s="263">
        <f t="shared" si="71"/>
        <v>718.31692174130797</v>
      </c>
      <c r="BI214" s="264">
        <f t="shared" si="72"/>
        <v>718.31692174130797</v>
      </c>
      <c r="BJ214" s="264">
        <f t="shared" si="76"/>
        <v>12.683078258692063</v>
      </c>
      <c r="BK214" s="264" t="b">
        <f t="shared" si="73"/>
        <v>0</v>
      </c>
      <c r="BL214" s="266">
        <v>34</v>
      </c>
    </row>
    <row r="215" spans="1:129" ht="21" customHeight="1" thickBot="1" x14ac:dyDescent="0.35">
      <c r="B215" s="244">
        <v>14</v>
      </c>
      <c r="C215" s="245"/>
      <c r="D215" s="16">
        <v>1</v>
      </c>
      <c r="E215" s="234" t="s">
        <v>215</v>
      </c>
      <c r="F215" s="235">
        <f t="shared" si="87"/>
        <v>1.3</v>
      </c>
      <c r="G215" s="235">
        <f t="shared" si="103"/>
        <v>1.3</v>
      </c>
      <c r="H215" s="888">
        <v>251.073172</v>
      </c>
      <c r="I215" s="889">
        <v>65.636175100000003</v>
      </c>
      <c r="J215" s="374">
        <f t="shared" si="88"/>
        <v>64.636175100000003</v>
      </c>
      <c r="K215" s="374">
        <f t="shared" si="89"/>
        <v>32.318087550000001</v>
      </c>
      <c r="L215" s="374">
        <f t="shared" si="77"/>
        <v>0.53461916118589337</v>
      </c>
      <c r="M215" s="374">
        <f t="shared" si="78"/>
        <v>134.22852861092153</v>
      </c>
      <c r="N215" s="374">
        <f t="shared" si="79"/>
        <v>268.45705722184306</v>
      </c>
      <c r="O215" s="374">
        <f>+C202+D203+D204+D205+D206+D207+D208+D209+D210+D211+D212+D213+D214+(D215/2)</f>
        <v>14.5</v>
      </c>
      <c r="P215" s="374">
        <f t="shared" si="80"/>
        <v>0.25038000405444116</v>
      </c>
      <c r="Q215" s="374">
        <f t="shared" si="81"/>
        <v>67.216279075648401</v>
      </c>
      <c r="R215" s="374">
        <f t="shared" si="90"/>
        <v>663.15191615304252</v>
      </c>
      <c r="S215" s="374">
        <f t="shared" si="104"/>
        <v>730.36819522869087</v>
      </c>
      <c r="T215" s="375">
        <f t="shared" si="82"/>
        <v>730.36819522869087</v>
      </c>
      <c r="V215" s="929">
        <f t="shared" si="83"/>
        <v>0</v>
      </c>
      <c r="W215" s="340"/>
      <c r="X215" s="340"/>
      <c r="Y215" s="340"/>
      <c r="Z215" s="340"/>
      <c r="AA215" s="340"/>
      <c r="AB215" s="257" t="str">
        <f t="shared" si="91"/>
        <v>use the locking pin</v>
      </c>
      <c r="AC215" s="377"/>
      <c r="AD215" s="377"/>
      <c r="AE215" s="377"/>
      <c r="AF215" s="966">
        <f>SUM(V215:V227)/($B$199-B214)</f>
        <v>0</v>
      </c>
      <c r="AG215" s="971"/>
      <c r="AH215" s="353">
        <f>SUM(D203:D215)+$C$202</f>
        <v>15</v>
      </c>
      <c r="AI215" s="944"/>
      <c r="AJ215" s="575">
        <f t="shared" si="92"/>
        <v>60.499008599999996</v>
      </c>
      <c r="AK215" s="944">
        <f t="shared" si="84"/>
        <v>0.87034717530911587</v>
      </c>
      <c r="AL215" s="944">
        <f t="shared" si="93"/>
        <v>252.96019918754024</v>
      </c>
      <c r="AM215" s="968">
        <f t="shared" si="94"/>
        <v>72.181912400000002</v>
      </c>
      <c r="AN215" s="944">
        <f t="shared" si="95"/>
        <v>0.95203284090704099</v>
      </c>
      <c r="AO215" s="969">
        <f t="shared" si="96"/>
        <v>239.02990521470213</v>
      </c>
      <c r="AP215" s="251"/>
      <c r="AQ215" s="347">
        <f t="shared" si="97"/>
        <v>-351.6</v>
      </c>
      <c r="AR215" s="347"/>
      <c r="AS215" s="348">
        <f t="shared" si="98"/>
        <v>491.99010440224237</v>
      </c>
      <c r="AT215" s="348">
        <f t="shared" si="106"/>
        <v>-239.02990521470213</v>
      </c>
      <c r="AU215" s="348"/>
      <c r="AV215" s="350">
        <f t="shared" si="105"/>
        <v>239.02990521470213</v>
      </c>
      <c r="AW215" s="350">
        <f t="shared" si="99"/>
        <v>-180.77763198591231</v>
      </c>
      <c r="AX215" s="351">
        <f t="shared" si="100"/>
        <v>-170.82236801408769</v>
      </c>
      <c r="AY215" s="351">
        <f t="shared" si="85"/>
        <v>-64.16723060574202</v>
      </c>
      <c r="AZ215" s="1043">
        <f t="shared" si="86"/>
        <v>-58.540342908578005</v>
      </c>
      <c r="BA215" s="241">
        <f t="shared" si="101"/>
        <v>64.16723060574202</v>
      </c>
      <c r="BB215" s="242">
        <f t="shared" si="101"/>
        <v>58.540342908578005</v>
      </c>
      <c r="BC215" s="26">
        <f t="shared" si="102"/>
        <v>0.3</v>
      </c>
      <c r="BE215" s="260">
        <v>35</v>
      </c>
      <c r="BF215" s="261">
        <f t="shared" si="74"/>
        <v>989</v>
      </c>
      <c r="BG215" s="31">
        <f t="shared" si="75"/>
        <v>989</v>
      </c>
      <c r="BH215" s="263">
        <f t="shared" si="71"/>
        <v>761.31692174130797</v>
      </c>
      <c r="BI215" s="264">
        <f t="shared" si="72"/>
        <v>761.31692174130797</v>
      </c>
      <c r="BJ215" s="264">
        <f t="shared" si="76"/>
        <v>12.683078258692063</v>
      </c>
      <c r="BK215" s="264" t="b">
        <f t="shared" si="73"/>
        <v>0</v>
      </c>
      <c r="BL215" s="266">
        <v>35</v>
      </c>
    </row>
    <row r="216" spans="1:129" ht="21" customHeight="1" thickBot="1" x14ac:dyDescent="0.35">
      <c r="B216" s="244">
        <v>15</v>
      </c>
      <c r="C216" s="245"/>
      <c r="D216" s="16">
        <v>1</v>
      </c>
      <c r="E216" s="234" t="s">
        <v>215</v>
      </c>
      <c r="F216" s="235">
        <f t="shared" si="87"/>
        <v>1.3</v>
      </c>
      <c r="G216" s="235">
        <f t="shared" si="103"/>
        <v>1.3</v>
      </c>
      <c r="H216" s="888">
        <v>251.073172</v>
      </c>
      <c r="I216" s="889">
        <v>65.636175100000003</v>
      </c>
      <c r="J216" s="374">
        <f t="shared" si="88"/>
        <v>64.636175100000003</v>
      </c>
      <c r="K216" s="374">
        <f t="shared" si="89"/>
        <v>32.318087550000001</v>
      </c>
      <c r="L216" s="374">
        <f t="shared" si="77"/>
        <v>0.53461916118589337</v>
      </c>
      <c r="M216" s="374">
        <f t="shared" si="78"/>
        <v>134.22852861092153</v>
      </c>
      <c r="N216" s="374">
        <f t="shared" si="79"/>
        <v>268.45705722184306</v>
      </c>
      <c r="O216" s="374">
        <f>+C202+D203+D204+D205+D206+D207+D208+D209+D210+D211+D212+D213+D214+D215+(D216/2)</f>
        <v>15.5</v>
      </c>
      <c r="P216" s="374">
        <f t="shared" si="80"/>
        <v>0.26723837607825657</v>
      </c>
      <c r="Q216" s="374">
        <f t="shared" si="81"/>
        <v>71.742028018712944</v>
      </c>
      <c r="R216" s="374">
        <f t="shared" si="90"/>
        <v>730.36819522869087</v>
      </c>
      <c r="S216" s="374">
        <f t="shared" si="104"/>
        <v>802.11022324740384</v>
      </c>
      <c r="T216" s="375">
        <f t="shared" si="82"/>
        <v>802.11022324740384</v>
      </c>
      <c r="V216" s="929">
        <f t="shared" si="83"/>
        <v>0</v>
      </c>
      <c r="W216" s="340"/>
      <c r="X216" s="340"/>
      <c r="Y216" s="340"/>
      <c r="Z216" s="340"/>
      <c r="AA216" s="340"/>
      <c r="AB216" s="257" t="str">
        <f t="shared" si="91"/>
        <v>use the locking pin</v>
      </c>
      <c r="AC216" s="377"/>
      <c r="AD216" s="377"/>
      <c r="AE216" s="377"/>
      <c r="AF216" s="966">
        <f>SUM(V216:V227)/($B$199-B215)</f>
        <v>0</v>
      </c>
      <c r="AG216" s="971"/>
      <c r="AH216" s="353">
        <f>SUM(D203:D216)+$C$202</f>
        <v>16</v>
      </c>
      <c r="AI216" s="944"/>
      <c r="AJ216" s="575">
        <f t="shared" si="92"/>
        <v>59.499008599999996</v>
      </c>
      <c r="AK216" s="944">
        <f t="shared" si="84"/>
        <v>0.86162037827767901</v>
      </c>
      <c r="AL216" s="944">
        <f t="shared" si="93"/>
        <v>250.42381786986954</v>
      </c>
      <c r="AM216" s="968">
        <f t="shared" si="94"/>
        <v>73.181912400000002</v>
      </c>
      <c r="AN216" s="944">
        <f t="shared" si="95"/>
        <v>0.95722820591067703</v>
      </c>
      <c r="AO216" s="969">
        <f t="shared" si="96"/>
        <v>240.33432198586283</v>
      </c>
      <c r="AP216" s="251"/>
      <c r="AQ216" s="347">
        <f t="shared" si="97"/>
        <v>-380.90000000000003</v>
      </c>
      <c r="AR216" s="347"/>
      <c r="AS216" s="348">
        <f t="shared" si="98"/>
        <v>490.75813985573234</v>
      </c>
      <c r="AT216" s="348">
        <f t="shared" si="106"/>
        <v>-240.33432198586283</v>
      </c>
      <c r="AU216" s="348"/>
      <c r="AV216" s="350">
        <f t="shared" si="105"/>
        <v>240.33432198586283</v>
      </c>
      <c r="AW216" s="350">
        <f t="shared" si="99"/>
        <v>-194.36546127319244</v>
      </c>
      <c r="AX216" s="351">
        <f t="shared" si="100"/>
        <v>-186.5345387268076</v>
      </c>
      <c r="AY216" s="351">
        <f t="shared" si="85"/>
        <v>-59.681385386138622</v>
      </c>
      <c r="AZ216" s="1043">
        <f t="shared" si="86"/>
        <v>-53.609374801337324</v>
      </c>
      <c r="BA216" s="241">
        <f t="shared" si="101"/>
        <v>59.681385386138622</v>
      </c>
      <c r="BB216" s="242">
        <f t="shared" si="101"/>
        <v>53.609374801337324</v>
      </c>
      <c r="BC216" s="26">
        <f t="shared" si="102"/>
        <v>0.3</v>
      </c>
      <c r="BE216" s="260">
        <v>36</v>
      </c>
      <c r="BF216" s="261">
        <f t="shared" si="74"/>
        <v>1032</v>
      </c>
      <c r="BG216" s="31">
        <f t="shared" si="75"/>
        <v>1032</v>
      </c>
      <c r="BH216" s="263">
        <f t="shared" si="71"/>
        <v>804.31692174130797</v>
      </c>
      <c r="BI216" s="264">
        <f t="shared" si="72"/>
        <v>804.31692174130797</v>
      </c>
      <c r="BJ216" s="264">
        <f t="shared" si="76"/>
        <v>12.683078258692063</v>
      </c>
      <c r="BK216" s="264" t="b">
        <f t="shared" si="73"/>
        <v>0</v>
      </c>
      <c r="BL216" s="266">
        <v>36</v>
      </c>
    </row>
    <row r="217" spans="1:129" ht="21" customHeight="1" thickBot="1" x14ac:dyDescent="0.35">
      <c r="B217" s="244">
        <v>16</v>
      </c>
      <c r="C217" s="245"/>
      <c r="D217" s="16">
        <v>1</v>
      </c>
      <c r="E217" s="234" t="s">
        <v>215</v>
      </c>
      <c r="F217" s="235">
        <f t="shared" si="87"/>
        <v>1.3</v>
      </c>
      <c r="G217" s="235">
        <f>+D217+BC217</f>
        <v>1.3</v>
      </c>
      <c r="H217" s="888">
        <v>251.073172</v>
      </c>
      <c r="I217" s="889">
        <v>65.636175100000003</v>
      </c>
      <c r="J217" s="374">
        <f t="shared" si="88"/>
        <v>64.636175100000003</v>
      </c>
      <c r="K217" s="374">
        <f t="shared" si="89"/>
        <v>32.318087550000001</v>
      </c>
      <c r="L217" s="374">
        <f t="shared" si="77"/>
        <v>0.53461916118589337</v>
      </c>
      <c r="M217" s="374">
        <f t="shared" si="78"/>
        <v>134.22852861092153</v>
      </c>
      <c r="N217" s="374">
        <f t="shared" si="79"/>
        <v>268.45705722184306</v>
      </c>
      <c r="O217" s="374">
        <f>+C202+D203+D204+D205+D206+D207+D208+D209+D210+D211+D212+D213+D214+D215+D216+(D217/2)</f>
        <v>16.5</v>
      </c>
      <c r="P217" s="374">
        <f t="shared" si="80"/>
        <v>0.28401534470392237</v>
      </c>
      <c r="Q217" s="374">
        <f t="shared" si="81"/>
        <v>76.245923645062362</v>
      </c>
      <c r="R217" s="374">
        <f t="shared" si="90"/>
        <v>802.11022324740384</v>
      </c>
      <c r="S217" s="374">
        <f t="shared" si="104"/>
        <v>878.3561468924662</v>
      </c>
      <c r="T217" s="375">
        <f t="shared" si="82"/>
        <v>878.3561468924662</v>
      </c>
      <c r="V217" s="929">
        <f t="shared" si="83"/>
        <v>0</v>
      </c>
      <c r="W217" s="340"/>
      <c r="X217" s="340"/>
      <c r="Y217" s="340"/>
      <c r="Z217" s="340"/>
      <c r="AA217" s="340"/>
      <c r="AB217" s="257" t="str">
        <f t="shared" si="91"/>
        <v>use the locking pin</v>
      </c>
      <c r="AC217" s="377"/>
      <c r="AD217" s="377"/>
      <c r="AE217" s="377"/>
      <c r="AF217" s="966">
        <f>SUM(V217:V227)/($B$199-B216)</f>
        <v>0</v>
      </c>
      <c r="AG217" s="971"/>
      <c r="AH217" s="353">
        <f>SUM(D203:D217)+$C$202</f>
        <v>17</v>
      </c>
      <c r="AI217" s="944"/>
      <c r="AJ217" s="575">
        <f t="shared" si="92"/>
        <v>58.499008599999996</v>
      </c>
      <c r="AK217" s="944">
        <f t="shared" si="84"/>
        <v>0.85263112333231494</v>
      </c>
      <c r="AL217" s="944">
        <f t="shared" si="93"/>
        <v>247.81115503136576</v>
      </c>
      <c r="AM217" s="968">
        <f t="shared" si="94"/>
        <v>74.181912400000002</v>
      </c>
      <c r="AN217" s="944">
        <f t="shared" si="95"/>
        <v>0.96213198992991489</v>
      </c>
      <c r="AO217" s="969">
        <f t="shared" si="96"/>
        <v>241.56553059437579</v>
      </c>
      <c r="AP217" s="251"/>
      <c r="AQ217" s="347">
        <f t="shared" si="97"/>
        <v>-410.2</v>
      </c>
      <c r="AR217" s="347"/>
      <c r="AS217" s="348">
        <f t="shared" si="98"/>
        <v>489.37668562574152</v>
      </c>
      <c r="AT217" s="348">
        <f t="shared" si="106"/>
        <v>-241.56553059437579</v>
      </c>
      <c r="AU217" s="348"/>
      <c r="AV217" s="350">
        <f t="shared" si="105"/>
        <v>241.56553059437579</v>
      </c>
      <c r="AW217" s="350">
        <f t="shared" si="99"/>
        <v>-207.71756967516487</v>
      </c>
      <c r="AX217" s="351">
        <f t="shared" si="100"/>
        <v>-202.48243032483512</v>
      </c>
      <c r="AY217" s="351">
        <f t="shared" si="85"/>
        <v>-55.845059318479592</v>
      </c>
      <c r="AZ217" s="1043">
        <f t="shared" si="86"/>
        <v>-49.387001054646412</v>
      </c>
      <c r="BA217" s="241">
        <f t="shared" si="101"/>
        <v>55.845059318479592</v>
      </c>
      <c r="BB217" s="242">
        <f t="shared" si="101"/>
        <v>49.387001054646412</v>
      </c>
      <c r="BC217" s="26">
        <f t="shared" si="102"/>
        <v>0.3</v>
      </c>
      <c r="BE217" s="270">
        <v>37</v>
      </c>
      <c r="BF217" s="271">
        <f t="shared" si="74"/>
        <v>1075</v>
      </c>
      <c r="BG217" s="31">
        <f t="shared" si="75"/>
        <v>1075</v>
      </c>
      <c r="BH217" s="263">
        <f t="shared" si="71"/>
        <v>847.31692174130797</v>
      </c>
      <c r="BI217" s="264">
        <f t="shared" si="72"/>
        <v>847.31692174130797</v>
      </c>
      <c r="BJ217" s="264">
        <f t="shared" si="76"/>
        <v>12.683078258692063</v>
      </c>
      <c r="BK217" s="264" t="b">
        <f t="shared" si="73"/>
        <v>0</v>
      </c>
      <c r="BL217" s="272">
        <v>37</v>
      </c>
    </row>
    <row r="218" spans="1:129" ht="21" customHeight="1" thickBot="1" x14ac:dyDescent="0.25">
      <c r="B218" s="244">
        <v>17</v>
      </c>
      <c r="C218" s="245"/>
      <c r="D218" s="16">
        <v>1</v>
      </c>
      <c r="E218" s="234" t="s">
        <v>215</v>
      </c>
      <c r="F218" s="235">
        <f t="shared" si="87"/>
        <v>1.3</v>
      </c>
      <c r="G218" s="235">
        <f t="shared" si="103"/>
        <v>1.3</v>
      </c>
      <c r="H218" s="888">
        <v>251.073172</v>
      </c>
      <c r="I218" s="889">
        <v>65.636175100000003</v>
      </c>
      <c r="J218" s="374">
        <f t="shared" si="88"/>
        <v>64.636175100000003</v>
      </c>
      <c r="K218" s="374">
        <f t="shared" si="89"/>
        <v>32.318087550000001</v>
      </c>
      <c r="L218" s="374">
        <f t="shared" si="77"/>
        <v>0.53461916118589337</v>
      </c>
      <c r="M218" s="374">
        <f t="shared" si="78"/>
        <v>134.22852861092153</v>
      </c>
      <c r="N218" s="374">
        <f t="shared" si="79"/>
        <v>268.45705722184306</v>
      </c>
      <c r="O218" s="374">
        <f>+C202+D203+D204+D205+D206+D207+D208+D209+D210+D211+D212+D213+D214+D215+D216+D217+(D218/2)</f>
        <v>17.5</v>
      </c>
      <c r="P218" s="374">
        <f t="shared" si="80"/>
        <v>0.30070579950427284</v>
      </c>
      <c r="Q218" s="374">
        <f t="shared" si="81"/>
        <v>80.726594024458635</v>
      </c>
      <c r="R218" s="374">
        <f t="shared" si="90"/>
        <v>878.3561468924662</v>
      </c>
      <c r="S218" s="374">
        <f t="shared" si="104"/>
        <v>959.08274091692488</v>
      </c>
      <c r="T218" s="375">
        <f t="shared" si="82"/>
        <v>959.08274091692488</v>
      </c>
      <c r="V218" s="929">
        <f t="shared" si="83"/>
        <v>0</v>
      </c>
      <c r="W218" s="340"/>
      <c r="X218" s="340"/>
      <c r="Y218" s="340"/>
      <c r="Z218" s="340"/>
      <c r="AA218" s="340"/>
      <c r="AB218" s="257" t="str">
        <f t="shared" si="91"/>
        <v>use the locking pin</v>
      </c>
      <c r="AC218" s="377"/>
      <c r="AD218" s="377"/>
      <c r="AE218" s="377"/>
      <c r="AF218" s="966">
        <f>SUM(V218:V227)/($B$199-B217)</f>
        <v>0</v>
      </c>
      <c r="AG218" s="971"/>
      <c r="AH218" s="353">
        <f>SUM(D203:D218)+$C$202</f>
        <v>18</v>
      </c>
      <c r="AI218" s="944"/>
      <c r="AJ218" s="575">
        <f t="shared" si="92"/>
        <v>57.499008599999996</v>
      </c>
      <c r="AK218" s="944">
        <f t="shared" si="84"/>
        <v>0.84338214868716044</v>
      </c>
      <c r="AL218" s="944">
        <f t="shared" si="93"/>
        <v>245.12300651443877</v>
      </c>
      <c r="AM218" s="968">
        <f t="shared" si="94"/>
        <v>75.181912400000002</v>
      </c>
      <c r="AN218" s="944">
        <f t="shared" si="95"/>
        <v>0.96674269922463818</v>
      </c>
      <c r="AO218" s="969">
        <f t="shared" si="96"/>
        <v>242.72315600217186</v>
      </c>
      <c r="AP218" s="251"/>
      <c r="AQ218" s="347">
        <f t="shared" si="97"/>
        <v>-439.5</v>
      </c>
      <c r="AR218" s="347"/>
      <c r="AS218" s="348">
        <f t="shared" si="98"/>
        <v>487.84616251661066</v>
      </c>
      <c r="AT218" s="348">
        <f t="shared" si="106"/>
        <v>-242.72315600217186</v>
      </c>
      <c r="AU218" s="348"/>
      <c r="AV218" s="350">
        <f t="shared" si="105"/>
        <v>242.72315600217186</v>
      </c>
      <c r="AW218" s="350">
        <f t="shared" si="99"/>
        <v>-220.83101116825472</v>
      </c>
      <c r="AX218" s="351">
        <f t="shared" si="100"/>
        <v>-218.66898883174528</v>
      </c>
      <c r="AY218" s="351">
        <f t="shared" si="85"/>
        <v>-52.528854252094931</v>
      </c>
      <c r="AZ218" s="1043">
        <f t="shared" si="86"/>
        <v>-45.731221667167873</v>
      </c>
      <c r="BA218" s="241">
        <f t="shared" si="101"/>
        <v>52.528854252094931</v>
      </c>
      <c r="BB218" s="242">
        <f t="shared" si="101"/>
        <v>45.731221667167873</v>
      </c>
      <c r="BC218" s="26">
        <f t="shared" si="102"/>
        <v>0.3</v>
      </c>
      <c r="BD218" s="119"/>
      <c r="BP218" s="109"/>
      <c r="BR218" s="109"/>
      <c r="BT218" s="109"/>
      <c r="DF218" s="109"/>
      <c r="DG218" s="109"/>
      <c r="DH218" s="109"/>
      <c r="DI218" s="109"/>
      <c r="DJ218" s="109"/>
      <c r="DK218" s="109"/>
      <c r="DL218" s="186"/>
      <c r="DM218" s="186"/>
      <c r="DN218" s="186"/>
      <c r="DO218" s="186"/>
      <c r="DP218" s="186"/>
      <c r="DQ218" s="186"/>
      <c r="DR218" s="186"/>
      <c r="DS218" s="186"/>
      <c r="DT218" s="186"/>
      <c r="DU218" s="186"/>
      <c r="DV218" s="186"/>
      <c r="DW218" s="186"/>
      <c r="DX218" s="186"/>
      <c r="DY218" s="186"/>
    </row>
    <row r="219" spans="1:129" ht="21" customHeight="1" thickBot="1" x14ac:dyDescent="0.25">
      <c r="B219" s="244">
        <v>18</v>
      </c>
      <c r="C219" s="245"/>
      <c r="D219" s="16">
        <v>1</v>
      </c>
      <c r="E219" s="234" t="s">
        <v>215</v>
      </c>
      <c r="F219" s="235">
        <f t="shared" si="87"/>
        <v>1.3</v>
      </c>
      <c r="G219" s="235">
        <f t="shared" si="103"/>
        <v>1.3</v>
      </c>
      <c r="H219" s="888">
        <v>251.073172</v>
      </c>
      <c r="I219" s="889">
        <v>65.636175100000003</v>
      </c>
      <c r="J219" s="374">
        <f t="shared" si="88"/>
        <v>64.636175100000003</v>
      </c>
      <c r="K219" s="374">
        <f t="shared" si="89"/>
        <v>32.318087550000001</v>
      </c>
      <c r="L219" s="374">
        <f t="shared" si="77"/>
        <v>0.53461916118589337</v>
      </c>
      <c r="M219" s="374">
        <f t="shared" si="78"/>
        <v>134.22852861092153</v>
      </c>
      <c r="N219" s="374">
        <f t="shared" si="79"/>
        <v>268.45705722184306</v>
      </c>
      <c r="O219" s="374">
        <f>+C202+D203+D204+D205+D206+D207+D208+D209+D210+D211+D212+D213+D214+D215+D216+D217+D218+(D219/2)</f>
        <v>18.5</v>
      </c>
      <c r="P219" s="374">
        <f t="shared" si="80"/>
        <v>0.31730465640509181</v>
      </c>
      <c r="Q219" s="374">
        <f t="shared" si="81"/>
        <v>85.182674301298988</v>
      </c>
      <c r="R219" s="374">
        <f t="shared" si="90"/>
        <v>959.08274091692488</v>
      </c>
      <c r="S219" s="374">
        <f t="shared" si="104"/>
        <v>1044.2654152182238</v>
      </c>
      <c r="T219" s="375">
        <f t="shared" si="82"/>
        <v>1044.2654152182238</v>
      </c>
      <c r="V219" s="929">
        <f t="shared" si="83"/>
        <v>0</v>
      </c>
      <c r="W219" s="340"/>
      <c r="X219" s="340"/>
      <c r="Y219" s="340"/>
      <c r="Z219" s="340"/>
      <c r="AA219" s="340"/>
      <c r="AB219" s="257" t="str">
        <f t="shared" si="91"/>
        <v>use the locking pin</v>
      </c>
      <c r="AC219" s="377"/>
      <c r="AD219" s="377"/>
      <c r="AE219" s="377"/>
      <c r="AF219" s="966">
        <f>SUM(V219:V227)/($B$199-B218)</f>
        <v>0</v>
      </c>
      <c r="AG219" s="971"/>
      <c r="AH219" s="353">
        <f>SUM(D203:D219)+$C$202</f>
        <v>19</v>
      </c>
      <c r="AI219" s="944"/>
      <c r="AJ219" s="575">
        <f t="shared" si="92"/>
        <v>56.499008599999996</v>
      </c>
      <c r="AK219" s="944">
        <f t="shared" si="84"/>
        <v>0.83387627166948974</v>
      </c>
      <c r="AL219" s="944">
        <f t="shared" si="93"/>
        <v>242.36019115516766</v>
      </c>
      <c r="AM219" s="968">
        <f t="shared" si="94"/>
        <v>76.181912400000002</v>
      </c>
      <c r="AN219" s="944">
        <f t="shared" si="95"/>
        <v>0.97105892932813076</v>
      </c>
      <c r="AO219" s="969">
        <f t="shared" si="96"/>
        <v>243.80684558533761</v>
      </c>
      <c r="AP219" s="251"/>
      <c r="AQ219" s="347">
        <f t="shared" si="97"/>
        <v>-468.8</v>
      </c>
      <c r="AR219" s="347"/>
      <c r="AS219" s="348">
        <f t="shared" si="98"/>
        <v>486.1670367405053</v>
      </c>
      <c r="AT219" s="348">
        <f t="shared" si="106"/>
        <v>-243.80684558533761</v>
      </c>
      <c r="AU219" s="348"/>
      <c r="AV219" s="350">
        <f t="shared" si="105"/>
        <v>243.80684558533761</v>
      </c>
      <c r="AW219" s="350">
        <f t="shared" si="99"/>
        <v>-233.70251174430646</v>
      </c>
      <c r="AX219" s="351">
        <f t="shared" si="100"/>
        <v>-235.09748825569355</v>
      </c>
      <c r="AY219" s="351">
        <f t="shared" si="85"/>
        <v>-49.635752364919128</v>
      </c>
      <c r="AZ219" s="1043">
        <f t="shared" si="86"/>
        <v>-42.535545888622742</v>
      </c>
      <c r="BA219" s="241">
        <f t="shared" si="101"/>
        <v>49.635752364919128</v>
      </c>
      <c r="BB219" s="242">
        <f t="shared" si="101"/>
        <v>42.535545888622742</v>
      </c>
      <c r="BC219" s="26">
        <f t="shared" si="102"/>
        <v>0.3</v>
      </c>
      <c r="BD219" s="361"/>
      <c r="BP219" s="109"/>
      <c r="BT219" s="109"/>
      <c r="DF219" s="109"/>
      <c r="DG219" s="109"/>
      <c r="DH219" s="109"/>
      <c r="DI219" s="109"/>
      <c r="DJ219" s="109"/>
      <c r="DK219" s="109"/>
      <c r="DL219" s="186"/>
      <c r="DM219" s="186"/>
      <c r="DN219" s="186"/>
      <c r="DO219" s="186"/>
      <c r="DP219" s="186"/>
      <c r="DQ219" s="186"/>
      <c r="DR219" s="186"/>
      <c r="DS219" s="186"/>
      <c r="DT219" s="186"/>
      <c r="DU219" s="186"/>
      <c r="DV219" s="186"/>
      <c r="DW219" s="186"/>
      <c r="DX219" s="186"/>
      <c r="DY219" s="186"/>
    </row>
    <row r="220" spans="1:129" ht="21" customHeight="1" thickBot="1" x14ac:dyDescent="0.25">
      <c r="B220" s="244">
        <v>19</v>
      </c>
      <c r="C220" s="245"/>
      <c r="D220" s="16">
        <v>1</v>
      </c>
      <c r="E220" s="234" t="s">
        <v>215</v>
      </c>
      <c r="F220" s="235">
        <f t="shared" si="87"/>
        <v>1.3</v>
      </c>
      <c r="G220" s="235">
        <f t="shared" si="103"/>
        <v>1.3</v>
      </c>
      <c r="H220" s="888">
        <v>251.073172</v>
      </c>
      <c r="I220" s="889">
        <v>65.636175100000003</v>
      </c>
      <c r="J220" s="374">
        <f t="shared" si="88"/>
        <v>64.636175100000003</v>
      </c>
      <c r="K220" s="374">
        <f t="shared" si="89"/>
        <v>32.318087550000001</v>
      </c>
      <c r="L220" s="374">
        <f t="shared" si="77"/>
        <v>0.53461916118589337</v>
      </c>
      <c r="M220" s="374">
        <f t="shared" si="78"/>
        <v>134.22852861092153</v>
      </c>
      <c r="N220" s="374">
        <f t="shared" si="79"/>
        <v>268.45705722184306</v>
      </c>
      <c r="O220" s="374">
        <f>+C202+D203+D204+D205+D206+D207+D208+D209+D210+D211+D212+D213+D214+D215+D216+D217+D218+D219+(D220/2)</f>
        <v>19.5</v>
      </c>
      <c r="P220" s="374">
        <f t="shared" si="80"/>
        <v>0.33380685923377057</v>
      </c>
      <c r="Q220" s="374">
        <f t="shared" si="81"/>
        <v>89.612807110364059</v>
      </c>
      <c r="R220" s="374">
        <f t="shared" si="90"/>
        <v>1044.2654152182238</v>
      </c>
      <c r="S220" s="374">
        <f t="shared" si="104"/>
        <v>1133.8782223285878</v>
      </c>
      <c r="T220" s="375">
        <f t="shared" si="82"/>
        <v>1133.8782223285878</v>
      </c>
      <c r="V220" s="929">
        <f t="shared" si="83"/>
        <v>0</v>
      </c>
      <c r="W220" s="340"/>
      <c r="X220" s="340"/>
      <c r="Y220" s="340"/>
      <c r="Z220" s="340"/>
      <c r="AA220" s="340"/>
      <c r="AB220" s="235" t="str">
        <f t="shared" si="91"/>
        <v>use the locking pin</v>
      </c>
      <c r="AC220" s="377"/>
      <c r="AD220" s="377"/>
      <c r="AE220" s="377"/>
      <c r="AF220" s="966">
        <f>SUM(V220:V227)/($B$199-B219)</f>
        <v>0</v>
      </c>
      <c r="AG220" s="971"/>
      <c r="AH220" s="353">
        <f>SUM(D203:D220)+$C$202</f>
        <v>20</v>
      </c>
      <c r="AI220" s="944"/>
      <c r="AJ220" s="575">
        <f t="shared" si="92"/>
        <v>55.499008599999996</v>
      </c>
      <c r="AK220" s="944">
        <f t="shared" si="84"/>
        <v>0.82411638786152763</v>
      </c>
      <c r="AL220" s="944">
        <f t="shared" si="93"/>
        <v>239.52355053387478</v>
      </c>
      <c r="AM220" s="968">
        <f t="shared" si="94"/>
        <v>77.181912400000002</v>
      </c>
      <c r="AN220" s="944">
        <f t="shared" si="95"/>
        <v>0.97507936547489105</v>
      </c>
      <c r="AO220" s="969">
        <f t="shared" si="96"/>
        <v>244.81626924152818</v>
      </c>
      <c r="AP220" s="251"/>
      <c r="AQ220" s="347">
        <f t="shared" si="97"/>
        <v>-498.1</v>
      </c>
      <c r="AR220" s="347"/>
      <c r="AS220" s="348">
        <f t="shared" si="98"/>
        <v>484.33981977540293</v>
      </c>
      <c r="AT220" s="348">
        <f t="shared" si="106"/>
        <v>-244.81626924152818</v>
      </c>
      <c r="AU220" s="348"/>
      <c r="AV220" s="350">
        <f t="shared" si="105"/>
        <v>244.81626924152818</v>
      </c>
      <c r="AW220" s="350">
        <f t="shared" si="99"/>
        <v>-246.32845710734185</v>
      </c>
      <c r="AX220" s="351">
        <f t="shared" si="100"/>
        <v>-251.7715428926582</v>
      </c>
      <c r="AY220" s="351">
        <f t="shared" si="85"/>
        <v>-47.091595247337182</v>
      </c>
      <c r="AZ220" s="1043">
        <f t="shared" si="86"/>
        <v>-39.718547557471418</v>
      </c>
      <c r="BA220" s="241">
        <f t="shared" si="101"/>
        <v>47.091595247337182</v>
      </c>
      <c r="BB220" s="242">
        <f t="shared" si="101"/>
        <v>39.718547557471418</v>
      </c>
      <c r="BC220" s="26">
        <f t="shared" si="102"/>
        <v>0.3</v>
      </c>
      <c r="BD220" s="127"/>
      <c r="BP220" s="109"/>
      <c r="BQ220" s="273"/>
      <c r="BR220" s="273"/>
      <c r="BS220" s="273"/>
      <c r="BT220" s="273"/>
      <c r="BU220" s="273"/>
      <c r="BV220" s="273"/>
      <c r="BW220" s="273"/>
      <c r="BX220" s="273"/>
      <c r="BY220" s="273"/>
      <c r="BZ220" s="273"/>
      <c r="CA220" s="273"/>
      <c r="CB220" s="273"/>
      <c r="CC220" s="273"/>
      <c r="CD220" s="273"/>
      <c r="CE220" s="273"/>
      <c r="CF220" s="273"/>
      <c r="CG220" s="273"/>
      <c r="CH220" s="273"/>
      <c r="CI220" s="273"/>
      <c r="CJ220" s="273"/>
      <c r="CK220" s="273"/>
      <c r="CL220" s="273"/>
      <c r="CM220" s="273"/>
      <c r="CN220" s="273"/>
      <c r="DF220" s="109"/>
      <c r="DG220" s="109"/>
      <c r="DH220" s="109"/>
      <c r="DI220" s="109"/>
      <c r="DJ220" s="109"/>
      <c r="DK220" s="109"/>
      <c r="DL220" s="186"/>
      <c r="DM220" s="186"/>
      <c r="DN220" s="186"/>
      <c r="DO220" s="186"/>
      <c r="DP220" s="186"/>
      <c r="DQ220" s="186"/>
      <c r="DR220" s="186"/>
      <c r="DS220" s="186"/>
      <c r="DT220" s="186"/>
      <c r="DU220" s="186"/>
      <c r="DV220" s="186"/>
      <c r="DW220" s="186"/>
      <c r="DX220" s="186"/>
      <c r="DY220" s="186"/>
    </row>
    <row r="221" spans="1:129" ht="21" customHeight="1" thickBot="1" x14ac:dyDescent="0.25">
      <c r="B221" s="244">
        <v>20</v>
      </c>
      <c r="C221" s="245"/>
      <c r="D221" s="16">
        <v>1</v>
      </c>
      <c r="E221" s="234" t="s">
        <v>215</v>
      </c>
      <c r="F221" s="235">
        <f t="shared" si="87"/>
        <v>1.3</v>
      </c>
      <c r="G221" s="235">
        <f t="shared" si="103"/>
        <v>1.3</v>
      </c>
      <c r="H221" s="888">
        <v>251.073172</v>
      </c>
      <c r="I221" s="889">
        <v>65.636175100000003</v>
      </c>
      <c r="J221" s="374">
        <f t="shared" si="88"/>
        <v>64.636175100000003</v>
      </c>
      <c r="K221" s="374">
        <f t="shared" si="89"/>
        <v>32.318087550000001</v>
      </c>
      <c r="L221" s="374">
        <f t="shared" si="77"/>
        <v>0.53461916118589337</v>
      </c>
      <c r="M221" s="374">
        <f t="shared" si="78"/>
        <v>134.22852861092153</v>
      </c>
      <c r="N221" s="374">
        <f t="shared" si="79"/>
        <v>268.45705722184306</v>
      </c>
      <c r="O221" s="48">
        <f>+C202+D203+D204+D205+D206+D207+D208+D209+D210+D211+D212+D213+D214+D215+D216+D217+D218+D219+D220+(D221/2)</f>
        <v>20.5</v>
      </c>
      <c r="P221" s="374">
        <f t="shared" si="80"/>
        <v>0.35020738125946715</v>
      </c>
      <c r="Q221" s="374">
        <f t="shared" si="81"/>
        <v>94.015642990284576</v>
      </c>
      <c r="R221" s="374">
        <f t="shared" si="90"/>
        <v>1133.8782223285878</v>
      </c>
      <c r="S221" s="374">
        <f t="shared" si="104"/>
        <v>1227.8938653188723</v>
      </c>
      <c r="T221" s="375">
        <f t="shared" si="82"/>
        <v>1227.8938653188723</v>
      </c>
      <c r="V221" s="929">
        <f t="shared" si="83"/>
        <v>0</v>
      </c>
      <c r="W221" s="340"/>
      <c r="X221" s="340"/>
      <c r="Y221" s="340"/>
      <c r="Z221" s="340"/>
      <c r="AA221" s="340"/>
      <c r="AB221" s="248" t="str">
        <f t="shared" si="91"/>
        <v>use the locking pin</v>
      </c>
      <c r="AC221" s="377"/>
      <c r="AD221" s="377"/>
      <c r="AE221" s="377"/>
      <c r="AF221" s="966">
        <f>SUM(V221:V227)/($B$199-B220)</f>
        <v>0</v>
      </c>
      <c r="AG221" s="971"/>
      <c r="AH221" s="353">
        <f>SUM(D203:D221)+$C$202</f>
        <v>21</v>
      </c>
      <c r="AI221" s="944"/>
      <c r="AJ221" s="575">
        <f t="shared" si="92"/>
        <v>54.499008599999996</v>
      </c>
      <c r="AK221" s="944">
        <f t="shared" si="84"/>
        <v>0.81410547021842816</v>
      </c>
      <c r="AL221" s="944">
        <f t="shared" si="93"/>
        <v>236.61394871877258</v>
      </c>
      <c r="AM221" s="968">
        <f t="shared" si="94"/>
        <v>78.181912400000002</v>
      </c>
      <c r="AN221" s="944">
        <f t="shared" si="95"/>
        <v>0.97880278300112167</v>
      </c>
      <c r="AO221" s="969">
        <f t="shared" si="96"/>
        <v>245.7511194905193</v>
      </c>
      <c r="AP221" s="251"/>
      <c r="AQ221" s="347">
        <f t="shared" si="97"/>
        <v>-527.4</v>
      </c>
      <c r="AR221" s="347"/>
      <c r="AS221" s="348">
        <f t="shared" si="98"/>
        <v>482.36506820929185</v>
      </c>
      <c r="AT221" s="348">
        <f t="shared" si="106"/>
        <v>-245.7511194905193</v>
      </c>
      <c r="AU221" s="348"/>
      <c r="AV221" s="350">
        <f t="shared" si="105"/>
        <v>245.7511194905193</v>
      </c>
      <c r="AW221" s="350">
        <f t="shared" si="99"/>
        <v>-258.70487889503602</v>
      </c>
      <c r="AX221" s="351">
        <f t="shared" si="100"/>
        <v>-268.69512110496396</v>
      </c>
      <c r="AY221" s="351">
        <f t="shared" si="85"/>
        <v>-44.838736901851981</v>
      </c>
      <c r="AZ221" s="1043">
        <f t="shared" si="86"/>
        <v>-37.216902037062169</v>
      </c>
      <c r="BA221" s="241">
        <f t="shared" si="101"/>
        <v>44.838736901851981</v>
      </c>
      <c r="BB221" s="242">
        <f t="shared" si="101"/>
        <v>37.216902037062169</v>
      </c>
      <c r="BC221" s="26">
        <f t="shared" si="102"/>
        <v>0.3</v>
      </c>
      <c r="BD221" s="127"/>
      <c r="BP221" s="109"/>
      <c r="DF221" s="109"/>
      <c r="DG221" s="109"/>
      <c r="DH221" s="109"/>
      <c r="DI221" s="109"/>
      <c r="DJ221" s="109"/>
      <c r="DK221" s="109"/>
      <c r="DL221" s="186"/>
      <c r="DM221" s="186"/>
      <c r="DN221" s="186"/>
      <c r="DO221" s="186"/>
      <c r="DP221" s="186"/>
      <c r="DQ221" s="186"/>
      <c r="DR221" s="186"/>
      <c r="DS221" s="186"/>
      <c r="DT221" s="186"/>
      <c r="DU221" s="186"/>
      <c r="DV221" s="186"/>
      <c r="DW221" s="186"/>
      <c r="DX221" s="186"/>
      <c r="DY221" s="186"/>
    </row>
    <row r="222" spans="1:129" ht="19" thickBot="1" x14ac:dyDescent="0.25">
      <c r="B222" s="244">
        <v>21</v>
      </c>
      <c r="C222" s="890"/>
      <c r="D222" s="16">
        <v>1</v>
      </c>
      <c r="E222" s="234" t="s">
        <v>215</v>
      </c>
      <c r="F222" s="235">
        <f t="shared" si="87"/>
        <v>1.3</v>
      </c>
      <c r="G222" s="235">
        <f t="shared" si="103"/>
        <v>1.3</v>
      </c>
      <c r="H222" s="888">
        <v>251.073172</v>
      </c>
      <c r="I222" s="889">
        <v>65.636175100000003</v>
      </c>
      <c r="J222" s="374">
        <f t="shared" si="88"/>
        <v>64.636175100000003</v>
      </c>
      <c r="K222" s="374">
        <f t="shared" si="89"/>
        <v>32.318087550000001</v>
      </c>
      <c r="L222" s="374">
        <f t="shared" si="77"/>
        <v>0.53461916118589337</v>
      </c>
      <c r="M222" s="374">
        <f t="shared" si="78"/>
        <v>134.22852861092153</v>
      </c>
      <c r="N222" s="374">
        <f t="shared" si="79"/>
        <v>268.45705722184306</v>
      </c>
      <c r="O222" s="983">
        <f>+C202+D203+D204+D205+D206+D207+D208+D209+D210+D211+D212+D213+D214+D215+D216+D217+D218+D219+D220+D221+(D222/2)</f>
        <v>21.5</v>
      </c>
      <c r="P222" s="374">
        <f t="shared" si="80"/>
        <v>0.36650122672429686</v>
      </c>
      <c r="Q222" s="374">
        <f t="shared" si="81"/>
        <v>98.389840794600232</v>
      </c>
      <c r="R222" s="374">
        <f t="shared" si="90"/>
        <v>1227.8938653188723</v>
      </c>
      <c r="S222" s="374">
        <f t="shared" si="104"/>
        <v>1326.2837061134726</v>
      </c>
      <c r="T222" s="375">
        <f t="shared" si="82"/>
        <v>1326.2837061134726</v>
      </c>
      <c r="V222" s="929">
        <f t="shared" si="83"/>
        <v>0</v>
      </c>
      <c r="AB222" s="248" t="str">
        <f t="shared" si="91"/>
        <v>use the locking pin</v>
      </c>
      <c r="AF222" s="966">
        <f>SUM(V222:V227)/($B$199-B221)</f>
        <v>0</v>
      </c>
      <c r="AG222" s="972"/>
      <c r="AH222" s="353">
        <f>SUM(D203:D222)+$C$202</f>
        <v>22</v>
      </c>
      <c r="AI222" s="944"/>
      <c r="AJ222" s="575">
        <f t="shared" si="92"/>
        <v>53.499008599999996</v>
      </c>
      <c r="AK222" s="944">
        <f t="shared" si="84"/>
        <v>0.80384656816268329</v>
      </c>
      <c r="AL222" s="944">
        <f t="shared" si="93"/>
        <v>233.63227200275978</v>
      </c>
      <c r="AM222" s="968">
        <f t="shared" si="94"/>
        <v>79.181912400000002</v>
      </c>
      <c r="AN222" s="944">
        <f t="shared" si="95"/>
        <v>0.98222804771777472</v>
      </c>
      <c r="AO222" s="969">
        <f t="shared" si="96"/>
        <v>246.61111156786907</v>
      </c>
      <c r="AP222" s="251"/>
      <c r="AQ222" s="347">
        <f t="shared" si="97"/>
        <v>-556.70000000000005</v>
      </c>
      <c r="AR222" s="347"/>
      <c r="AS222" s="348">
        <f t="shared" si="98"/>
        <v>480.24338357062885</v>
      </c>
      <c r="AT222" s="48">
        <f t="shared" si="106"/>
        <v>-246.61111156786907</v>
      </c>
      <c r="AU222" s="348"/>
      <c r="AV222" s="350">
        <f t="shared" si="105"/>
        <v>246.61111156786907</v>
      </c>
      <c r="AW222" s="350">
        <f t="shared" si="99"/>
        <v>-270.82743932235383</v>
      </c>
      <c r="AX222" s="351">
        <f t="shared" si="100"/>
        <v>-285.87256067764622</v>
      </c>
      <c r="AY222" s="351">
        <f t="shared" si="85"/>
        <v>-42.831701355758995</v>
      </c>
      <c r="AZ222" s="1043">
        <f t="shared" si="86"/>
        <v>-34.98062205164257</v>
      </c>
      <c r="BA222" s="241">
        <f t="shared" si="101"/>
        <v>42.831701355758995</v>
      </c>
      <c r="BB222" s="242">
        <f t="shared" si="101"/>
        <v>34.98062205164257</v>
      </c>
      <c r="BC222" s="26">
        <f t="shared" si="102"/>
        <v>0.3</v>
      </c>
      <c r="BD222" s="423"/>
      <c r="BQ222" s="217"/>
      <c r="BR222" s="217"/>
      <c r="BS222" s="217"/>
      <c r="BT222" s="217"/>
      <c r="BU222" s="217"/>
      <c r="BV222" s="217"/>
      <c r="CA222" s="217"/>
      <c r="CB222" s="217"/>
      <c r="CC222" s="217"/>
      <c r="CD222" s="217"/>
      <c r="CI222" s="217"/>
      <c r="CJ222" s="217"/>
      <c r="CK222" s="217"/>
      <c r="CL222" s="217"/>
      <c r="CM222" s="217"/>
      <c r="CN222" s="217"/>
      <c r="DE222" s="109"/>
    </row>
    <row r="223" spans="1:129" ht="19" thickBot="1" x14ac:dyDescent="0.25">
      <c r="B223" s="244">
        <v>22</v>
      </c>
      <c r="C223" s="890"/>
      <c r="D223" s="16">
        <v>1</v>
      </c>
      <c r="E223" s="234" t="s">
        <v>215</v>
      </c>
      <c r="F223" s="235">
        <f t="shared" si="87"/>
        <v>1.3</v>
      </c>
      <c r="G223" s="235">
        <f t="shared" si="103"/>
        <v>1.3</v>
      </c>
      <c r="H223" s="888">
        <v>251.073172</v>
      </c>
      <c r="I223" s="889">
        <v>65.636175100000003</v>
      </c>
      <c r="J223" s="374">
        <f t="shared" si="88"/>
        <v>64.636175100000003</v>
      </c>
      <c r="K223" s="374">
        <f t="shared" si="89"/>
        <v>32.318087550000001</v>
      </c>
      <c r="L223" s="374">
        <f t="shared" si="77"/>
        <v>0.53461916118589337</v>
      </c>
      <c r="M223" s="374">
        <f t="shared" si="78"/>
        <v>134.22852861092153</v>
      </c>
      <c r="N223" s="374">
        <f t="shared" si="79"/>
        <v>268.45705722184306</v>
      </c>
      <c r="O223" s="983">
        <f>+C202+D203+D204+D205+D206+D207+D208+D209+D210+D211+D212+D213+D214+D215+D216+D217+D218+D219+D220+D221+D222+(D223/2)</f>
        <v>22.5</v>
      </c>
      <c r="P223" s="374">
        <f t="shared" si="80"/>
        <v>0.38268343236508939</v>
      </c>
      <c r="Q223" s="374">
        <f t="shared" si="81"/>
        <v>102.73406810028611</v>
      </c>
      <c r="R223" s="374">
        <f t="shared" si="90"/>
        <v>1326.2837061134726</v>
      </c>
      <c r="S223" s="374">
        <f t="shared" si="104"/>
        <v>1429.0177742137587</v>
      </c>
      <c r="T223" s="375">
        <f t="shared" si="82"/>
        <v>1429.0177742137587</v>
      </c>
      <c r="V223" s="929">
        <f t="shared" si="83"/>
        <v>0</v>
      </c>
      <c r="AB223" s="248" t="str">
        <f t="shared" si="91"/>
        <v>use the locking pin</v>
      </c>
      <c r="AF223" s="966">
        <f>SUM(V223:V227)/($B$199-B222)</f>
        <v>0</v>
      </c>
      <c r="AG223" s="972"/>
      <c r="AH223" s="353">
        <f>SUM(D203:D223)+$C$202</f>
        <v>23</v>
      </c>
      <c r="AI223" s="944"/>
      <c r="AJ223" s="575">
        <f t="shared" si="92"/>
        <v>52.499008599999996</v>
      </c>
      <c r="AK223" s="944">
        <f t="shared" si="84"/>
        <v>0.79334280665523971</v>
      </c>
      <c r="AL223" s="944">
        <f t="shared" si="93"/>
        <v>230.57942863344837</v>
      </c>
      <c r="AM223" s="968">
        <f t="shared" si="94"/>
        <v>80.181912400000002</v>
      </c>
      <c r="AN223" s="944">
        <f t="shared" si="95"/>
        <v>0.98535411625603619</v>
      </c>
      <c r="AO223" s="969">
        <f t="shared" si="96"/>
        <v>247.39598351165978</v>
      </c>
      <c r="AP223" s="251"/>
      <c r="AQ223" s="347">
        <f t="shared" si="97"/>
        <v>-586</v>
      </c>
      <c r="AR223" s="347"/>
      <c r="AS223" s="348">
        <f t="shared" si="98"/>
        <v>477.97541214510818</v>
      </c>
      <c r="AT223" s="48">
        <f t="shared" si="106"/>
        <v>-247.39598351165978</v>
      </c>
      <c r="AU223" s="348"/>
      <c r="AV223" s="350">
        <f t="shared" si="105"/>
        <v>247.39598351165978</v>
      </c>
      <c r="AW223" s="350">
        <f t="shared" si="99"/>
        <v>-282.69141413111004</v>
      </c>
      <c r="AX223" s="351">
        <f t="shared" si="100"/>
        <v>-303.30858586888996</v>
      </c>
      <c r="AY223" s="351">
        <f t="shared" si="85"/>
        <v>-41.034143310132556</v>
      </c>
      <c r="AZ223" s="1043">
        <f t="shared" si="86"/>
        <v>-32.969722803437755</v>
      </c>
      <c r="BA223" s="241">
        <f t="shared" ref="BA223:BB227" si="107">ABS(AY223)</f>
        <v>41.034143310132556</v>
      </c>
      <c r="BB223" s="242">
        <f t="shared" si="107"/>
        <v>32.969722803437755</v>
      </c>
      <c r="BC223" s="26">
        <f t="shared" si="102"/>
        <v>0.3</v>
      </c>
      <c r="BD223" s="423"/>
      <c r="DE223" s="109"/>
    </row>
    <row r="224" spans="1:129" ht="19" thickBot="1" x14ac:dyDescent="0.25">
      <c r="B224" s="244">
        <v>23</v>
      </c>
      <c r="C224" s="890"/>
      <c r="D224" s="16">
        <v>1</v>
      </c>
      <c r="E224" s="234" t="s">
        <v>215</v>
      </c>
      <c r="F224" s="235">
        <f t="shared" si="87"/>
        <v>1.3</v>
      </c>
      <c r="G224" s="235">
        <f t="shared" si="103"/>
        <v>1.3</v>
      </c>
      <c r="H224" s="888">
        <v>251.073172</v>
      </c>
      <c r="I224" s="889">
        <v>65.636175100000003</v>
      </c>
      <c r="J224" s="374">
        <f t="shared" si="88"/>
        <v>64.636175100000003</v>
      </c>
      <c r="K224" s="374">
        <f t="shared" si="89"/>
        <v>32.318087550000001</v>
      </c>
      <c r="L224" s="374">
        <f t="shared" si="77"/>
        <v>0.53461916118589337</v>
      </c>
      <c r="M224" s="374">
        <f t="shared" si="78"/>
        <v>134.22852861092153</v>
      </c>
      <c r="N224" s="374">
        <f t="shared" si="79"/>
        <v>268.45705722184306</v>
      </c>
      <c r="O224" s="983">
        <f>+C202+D203+D204+D205+D206+D207+D208+D209+D210+D211+D212+D213+D214+D215+D216+D217+D218+D219+D220+D221+D222+D223+(D224/2)</f>
        <v>23.5</v>
      </c>
      <c r="P224" s="374">
        <f t="shared" si="80"/>
        <v>0.39874906892524581</v>
      </c>
      <c r="Q224" s="374">
        <f t="shared" si="81"/>
        <v>107.04700161362136</v>
      </c>
      <c r="R224" s="374">
        <f t="shared" si="90"/>
        <v>1429.0177742137587</v>
      </c>
      <c r="S224" s="374">
        <f t="shared" si="104"/>
        <v>1536.0647758273801</v>
      </c>
      <c r="T224" s="375">
        <f t="shared" si="82"/>
        <v>1536.0647758273801</v>
      </c>
      <c r="V224" s="929">
        <f t="shared" si="83"/>
        <v>0</v>
      </c>
      <c r="AB224" s="248" t="str">
        <f t="shared" si="91"/>
        <v>use the locking pin</v>
      </c>
      <c r="AF224" s="966">
        <f>SUM(V224:V227)/($B$199-B223)</f>
        <v>0</v>
      </c>
      <c r="AG224" s="972"/>
      <c r="AH224" s="353">
        <f>SUM(D203:D224)+$C$202</f>
        <v>24</v>
      </c>
      <c r="AI224" s="944"/>
      <c r="AJ224" s="575">
        <f t="shared" si="92"/>
        <v>51.499008599999996</v>
      </c>
      <c r="AK224" s="944">
        <f t="shared" si="84"/>
        <v>0.78259738524360445</v>
      </c>
      <c r="AL224" s="944">
        <f t="shared" si="93"/>
        <v>227.45634853650211</v>
      </c>
      <c r="AM224" s="968">
        <f t="shared" si="94"/>
        <v>81.181912400000002</v>
      </c>
      <c r="AN224" s="944">
        <f t="shared" si="95"/>
        <v>0.9881800363851464</v>
      </c>
      <c r="AO224" s="969">
        <f t="shared" si="96"/>
        <v>248.10549624229412</v>
      </c>
      <c r="AP224" s="251"/>
      <c r="AQ224" s="347">
        <f t="shared" si="97"/>
        <v>-615.30000000000007</v>
      </c>
      <c r="AR224" s="347"/>
      <c r="AS224" s="348">
        <f t="shared" si="98"/>
        <v>475.56184477879623</v>
      </c>
      <c r="AT224" s="48">
        <f t="shared" si="106"/>
        <v>-248.10549624229412</v>
      </c>
      <c r="AU224" s="348"/>
      <c r="AV224" s="350">
        <f t="shared" si="105"/>
        <v>248.10549624229412</v>
      </c>
      <c r="AW224" s="350">
        <f t="shared" si="99"/>
        <v>-294.29167371408488</v>
      </c>
      <c r="AX224" s="351">
        <f t="shared" si="100"/>
        <v>-321.00832628591525</v>
      </c>
      <c r="AY224" s="351">
        <f t="shared" si="85"/>
        <v>-39.416677521328126</v>
      </c>
      <c r="AZ224" s="1043">
        <f t="shared" si="86"/>
        <v>-31.151839940417041</v>
      </c>
      <c r="BA224" s="241">
        <f t="shared" si="107"/>
        <v>39.416677521328126</v>
      </c>
      <c r="BB224" s="242">
        <f t="shared" si="107"/>
        <v>31.151839940417041</v>
      </c>
      <c r="BC224" s="26">
        <f t="shared" si="102"/>
        <v>0.3</v>
      </c>
      <c r="BD224" s="423"/>
      <c r="DE224" s="109"/>
    </row>
    <row r="225" spans="2:109" ht="19" thickBot="1" x14ac:dyDescent="0.25">
      <c r="B225" s="244">
        <v>24</v>
      </c>
      <c r="C225" s="891"/>
      <c r="D225" s="16">
        <v>1</v>
      </c>
      <c r="E225" s="234" t="s">
        <v>215</v>
      </c>
      <c r="F225" s="235">
        <f t="shared" si="87"/>
        <v>1.3</v>
      </c>
      <c r="G225" s="235">
        <f t="shared" si="103"/>
        <v>1.3</v>
      </c>
      <c r="H225" s="888">
        <v>251.073172</v>
      </c>
      <c r="I225" s="889">
        <v>65.636175100000003</v>
      </c>
      <c r="J225" s="374">
        <f t="shared" si="88"/>
        <v>64.636175100000003</v>
      </c>
      <c r="K225" s="374">
        <f t="shared" si="89"/>
        <v>32.318087550000001</v>
      </c>
      <c r="L225" s="374">
        <f t="shared" si="77"/>
        <v>0.53461916118589337</v>
      </c>
      <c r="M225" s="374">
        <f t="shared" si="78"/>
        <v>134.22852861092153</v>
      </c>
      <c r="N225" s="374">
        <f t="shared" si="79"/>
        <v>268.45705722184306</v>
      </c>
      <c r="O225" s="983">
        <f>+C202+D203+D204+D205+D206+D207+D208+D209+D210+D211+D212+D213+D214+D215+D216+D217+D218+D219+D220+D221+D222+D223+D224+(D225/2)</f>
        <v>24.5</v>
      </c>
      <c r="P225" s="374">
        <f t="shared" si="80"/>
        <v>0.41469324265623864</v>
      </c>
      <c r="Q225" s="374">
        <f t="shared" si="81"/>
        <v>111.3273275732775</v>
      </c>
      <c r="R225" s="374">
        <f t="shared" si="90"/>
        <v>1536.0647758273801</v>
      </c>
      <c r="S225" s="374">
        <f t="shared" si="104"/>
        <v>1647.3921034006576</v>
      </c>
      <c r="T225" s="375">
        <f t="shared" si="82"/>
        <v>1647.3921034006576</v>
      </c>
      <c r="V225" s="929">
        <f t="shared" si="83"/>
        <v>0</v>
      </c>
      <c r="AB225" s="248" t="str">
        <f t="shared" si="91"/>
        <v>use the locking pin</v>
      </c>
      <c r="AF225" s="966">
        <f>SUM(V225:V227)/($B$199-B224)</f>
        <v>0</v>
      </c>
      <c r="AG225" s="972"/>
      <c r="AH225" s="353">
        <f>SUM(D203:D225)+$C$202</f>
        <v>25</v>
      </c>
      <c r="AI225" s="944"/>
      <c r="AJ225" s="575">
        <f t="shared" si="92"/>
        <v>50.499008599999996</v>
      </c>
      <c r="AK225" s="944">
        <f t="shared" si="84"/>
        <v>0.77161357708723288</v>
      </c>
      <c r="AL225" s="944">
        <f t="shared" si="93"/>
        <v>224.26398303237247</v>
      </c>
      <c r="AM225" s="968">
        <f t="shared" si="94"/>
        <v>82.181912400000002</v>
      </c>
      <c r="AN225" s="944">
        <f t="shared" si="95"/>
        <v>0.99070494730245873</v>
      </c>
      <c r="AO225" s="969">
        <f t="shared" si="96"/>
        <v>248.73943363532115</v>
      </c>
      <c r="AP225" s="251"/>
      <c r="AQ225" s="347">
        <f t="shared" si="97"/>
        <v>-644.6</v>
      </c>
      <c r="AR225" s="347"/>
      <c r="AS225" s="348">
        <f t="shared" si="98"/>
        <v>473.00341666769361</v>
      </c>
      <c r="AT225" s="48">
        <f t="shared" si="106"/>
        <v>-248.73943363532115</v>
      </c>
      <c r="AU225" s="348"/>
      <c r="AV225" s="350">
        <f t="shared" si="105"/>
        <v>248.73943363532115</v>
      </c>
      <c r="AW225" s="350">
        <f t="shared" si="99"/>
        <v>-305.62266226551947</v>
      </c>
      <c r="AX225" s="351">
        <f t="shared" si="100"/>
        <v>-338.97733773448056</v>
      </c>
      <c r="AY225" s="351">
        <f t="shared" si="85"/>
        <v>-37.95530054614251</v>
      </c>
      <c r="AZ225" s="1043">
        <f t="shared" si="86"/>
        <v>-29.500497192036345</v>
      </c>
      <c r="BA225" s="241">
        <f t="shared" si="107"/>
        <v>37.95530054614251</v>
      </c>
      <c r="BB225" s="242">
        <f t="shared" si="107"/>
        <v>29.500497192036345</v>
      </c>
      <c r="BC225" s="26">
        <f t="shared" si="102"/>
        <v>0.3</v>
      </c>
      <c r="BD225" s="423"/>
      <c r="DE225" s="216"/>
    </row>
    <row r="226" spans="2:109" ht="19" thickBot="1" x14ac:dyDescent="0.25">
      <c r="B226" s="244">
        <v>25</v>
      </c>
      <c r="C226" s="892"/>
      <c r="D226" s="16">
        <v>1</v>
      </c>
      <c r="E226" s="234" t="s">
        <v>215</v>
      </c>
      <c r="F226" s="235">
        <f t="shared" si="87"/>
        <v>1.3</v>
      </c>
      <c r="G226" s="235">
        <f t="shared" si="103"/>
        <v>1.3</v>
      </c>
      <c r="H226" s="888">
        <v>251.073172</v>
      </c>
      <c r="I226" s="889">
        <v>65.636175100000003</v>
      </c>
      <c r="J226" s="374">
        <f t="shared" si="88"/>
        <v>64.636175100000003</v>
      </c>
      <c r="K226" s="374">
        <f t="shared" si="89"/>
        <v>32.318087550000001</v>
      </c>
      <c r="L226" s="374">
        <f t="shared" si="77"/>
        <v>0.53461916118589337</v>
      </c>
      <c r="M226" s="374">
        <f t="shared" si="78"/>
        <v>134.22852861092153</v>
      </c>
      <c r="N226" s="374">
        <f t="shared" si="79"/>
        <v>268.45705722184306</v>
      </c>
      <c r="O226" s="983">
        <f>+C202+D203+D204+D205+D206+D207+D208+D209+D210+D211+D212+D213+D214+D215+D216+D217+D218+D219+D220+D221+D222+D223+D224+D225+(D226/2)</f>
        <v>25.5</v>
      </c>
      <c r="P226" s="374">
        <f t="shared" si="80"/>
        <v>0.43051109680829475</v>
      </c>
      <c r="Q226" s="374">
        <f t="shared" si="81"/>
        <v>115.5737421505028</v>
      </c>
      <c r="R226" s="374">
        <f t="shared" si="90"/>
        <v>1647.3921034006576</v>
      </c>
      <c r="S226" s="374">
        <f t="shared" si="104"/>
        <v>1762.9658455511603</v>
      </c>
      <c r="T226" s="375">
        <f t="shared" si="82"/>
        <v>1762.9658455511603</v>
      </c>
      <c r="V226" s="929">
        <f t="shared" si="83"/>
        <v>0</v>
      </c>
      <c r="AB226" s="248" t="str">
        <f t="shared" si="91"/>
        <v>use the locking pin</v>
      </c>
      <c r="AF226" s="966">
        <f>SUM(V226:V227)/($B$199-B225)</f>
        <v>0</v>
      </c>
      <c r="AG226" s="972"/>
      <c r="AH226" s="353">
        <f>SUM(D203:D226)+$C$202</f>
        <v>26</v>
      </c>
      <c r="AI226" s="944"/>
      <c r="AJ226" s="575">
        <f t="shared" si="92"/>
        <v>49.499008599999996</v>
      </c>
      <c r="AK226" s="944">
        <f t="shared" si="84"/>
        <v>0.76039472796049201</v>
      </c>
      <c r="AL226" s="944">
        <f t="shared" si="93"/>
        <v>221.0033045465172</v>
      </c>
      <c r="AM226" s="968">
        <f t="shared" si="94"/>
        <v>83.181912400000002</v>
      </c>
      <c r="AN226" s="944">
        <f t="shared" si="95"/>
        <v>0.99292807989564835</v>
      </c>
      <c r="AO226" s="969">
        <f t="shared" si="96"/>
        <v>249.29760258726986</v>
      </c>
      <c r="AP226" s="251"/>
      <c r="AQ226" s="347">
        <f t="shared" si="97"/>
        <v>-673.9</v>
      </c>
      <c r="AR226" s="347"/>
      <c r="AS226" s="348">
        <f t="shared" si="98"/>
        <v>470.30090713378706</v>
      </c>
      <c r="AT226" s="48">
        <f t="shared" si="106"/>
        <v>-249.29760258726986</v>
      </c>
      <c r="AU226" s="348"/>
      <c r="AV226" s="350">
        <f t="shared" si="105"/>
        <v>249.29760258726986</v>
      </c>
      <c r="AW226" s="350">
        <f t="shared" si="99"/>
        <v>-316.67837479107919</v>
      </c>
      <c r="AX226" s="351">
        <f t="shared" si="100"/>
        <v>-357.22162520892078</v>
      </c>
      <c r="AY226" s="351">
        <f t="shared" si="85"/>
        <v>-36.630224617177653</v>
      </c>
      <c r="AZ226" s="1043">
        <f t="shared" si="86"/>
        <v>-27.993825945311983</v>
      </c>
      <c r="BA226" s="241">
        <f t="shared" si="107"/>
        <v>36.630224617177653</v>
      </c>
      <c r="BB226" s="242">
        <f t="shared" si="107"/>
        <v>27.993825945311983</v>
      </c>
      <c r="BC226" s="26">
        <f t="shared" si="102"/>
        <v>0.3</v>
      </c>
      <c r="BD226" s="423"/>
      <c r="DE226" s="109"/>
    </row>
    <row r="227" spans="2:109" ht="19" thickBot="1" x14ac:dyDescent="0.25">
      <c r="B227" s="244">
        <v>26</v>
      </c>
      <c r="C227" s="892"/>
      <c r="D227" s="16">
        <v>1</v>
      </c>
      <c r="E227" s="234" t="s">
        <v>215</v>
      </c>
      <c r="F227" s="235">
        <f t="shared" si="87"/>
        <v>1.3</v>
      </c>
      <c r="G227" s="235">
        <f t="shared" si="103"/>
        <v>1.3</v>
      </c>
      <c r="H227" s="888">
        <v>251.073172</v>
      </c>
      <c r="I227" s="889">
        <v>65.636175100000003</v>
      </c>
      <c r="J227" s="374">
        <f t="shared" si="88"/>
        <v>64.636175100000003</v>
      </c>
      <c r="K227" s="374">
        <f t="shared" si="89"/>
        <v>32.318087550000001</v>
      </c>
      <c r="L227" s="374">
        <f t="shared" si="77"/>
        <v>0.53461916118589337</v>
      </c>
      <c r="M227" s="374">
        <f t="shared" si="78"/>
        <v>134.22852861092153</v>
      </c>
      <c r="N227" s="374">
        <f t="shared" si="79"/>
        <v>268.45705722184306</v>
      </c>
      <c r="O227" s="983">
        <f>+C202+D203+D204+D205+D206+D207+D208+D209+D210+D211+D212+D213+D214+D215+D216+D217+D218+D219+D220+D221+D222+D223+D224+D225+D226+(D227/2)</f>
        <v>26.5</v>
      </c>
      <c r="P227" s="374">
        <f t="shared" si="80"/>
        <v>0.44619781310980838</v>
      </c>
      <c r="Q227" s="374">
        <f t="shared" si="81"/>
        <v>119.78495184628106</v>
      </c>
      <c r="R227" s="374">
        <f t="shared" si="90"/>
        <v>1762.9658455511603</v>
      </c>
      <c r="S227" s="374">
        <f t="shared" si="104"/>
        <v>1882.7507973974414</v>
      </c>
      <c r="T227" s="375">
        <f t="shared" si="82"/>
        <v>1882.7507973974414</v>
      </c>
      <c r="V227" s="929">
        <f t="shared" si="83"/>
        <v>0</v>
      </c>
      <c r="AB227" s="248" t="str">
        <f t="shared" si="91"/>
        <v>use the locking pin</v>
      </c>
      <c r="AF227" s="966">
        <f>SUM(V227)/($B$199-B226)</f>
        <v>0</v>
      </c>
      <c r="AG227" s="972"/>
      <c r="AH227" s="353">
        <f>SUM(D203:D227)+$C$202</f>
        <v>27</v>
      </c>
      <c r="AI227" s="944"/>
      <c r="AJ227" s="575">
        <f t="shared" si="92"/>
        <v>48.499008599999996</v>
      </c>
      <c r="AK227" s="944">
        <f t="shared" si="84"/>
        <v>0.74894425523350538</v>
      </c>
      <c r="AL227" s="944">
        <f t="shared" si="93"/>
        <v>217.67530631319002</v>
      </c>
      <c r="AM227" s="968">
        <f t="shared" si="94"/>
        <v>84.181912400000002</v>
      </c>
      <c r="AN227" s="944">
        <f t="shared" si="95"/>
        <v>0.9948487569769916</v>
      </c>
      <c r="AO227" s="969">
        <f t="shared" si="96"/>
        <v>249.77983307447042</v>
      </c>
      <c r="AP227" s="251"/>
      <c r="AQ227" s="347">
        <f t="shared" si="97"/>
        <v>-703.2</v>
      </c>
      <c r="AR227" s="347"/>
      <c r="AS227" s="348">
        <f t="shared" si="98"/>
        <v>467.45513938766044</v>
      </c>
      <c r="AT227" s="48">
        <f t="shared" si="106"/>
        <v>-249.77983307447042</v>
      </c>
      <c r="AU227" s="348"/>
      <c r="AV227" s="350">
        <f t="shared" si="105"/>
        <v>249.77983307447042</v>
      </c>
      <c r="AW227" s="350">
        <f t="shared" si="99"/>
        <v>-327.45233178941459</v>
      </c>
      <c r="AX227" s="351">
        <f t="shared" si="100"/>
        <v>-375.7476682105854</v>
      </c>
      <c r="AY227" s="351">
        <f t="shared" si="85"/>
        <v>-35.425003500845399</v>
      </c>
      <c r="AZ227" s="1043">
        <f t="shared" si="86"/>
        <v>-26.613604942973495</v>
      </c>
      <c r="BA227" s="241">
        <f t="shared" si="107"/>
        <v>35.425003500845399</v>
      </c>
      <c r="BB227" s="242">
        <f t="shared" si="107"/>
        <v>26.613604942973495</v>
      </c>
      <c r="BC227" s="26">
        <f t="shared" si="102"/>
        <v>0.3</v>
      </c>
      <c r="BD227" s="423"/>
    </row>
    <row r="228" spans="2:109" x14ac:dyDescent="0.2">
      <c r="AH228" s="353"/>
      <c r="AO228" s="995"/>
      <c r="BD228" s="423"/>
    </row>
    <row r="229" spans="2:109" x14ac:dyDescent="0.2">
      <c r="BD229" s="423"/>
    </row>
    <row r="230" spans="2:109" x14ac:dyDescent="0.2">
      <c r="BD230" s="423"/>
    </row>
    <row r="264" spans="110:129" x14ac:dyDescent="0.2">
      <c r="DF264" s="267"/>
      <c r="DG264" s="267"/>
      <c r="DH264" s="267"/>
      <c r="DI264" s="267"/>
      <c r="DJ264" s="267"/>
      <c r="DK264" s="267"/>
      <c r="DL264" s="1109"/>
      <c r="DM264" s="1109"/>
      <c r="DN264" s="1109"/>
      <c r="DO264" s="109"/>
    </row>
    <row r="265" spans="110:129" x14ac:dyDescent="0.2">
      <c r="DL265" s="268"/>
      <c r="DY265" s="268"/>
    </row>
    <row r="266" spans="110:129" x14ac:dyDescent="0.2">
      <c r="DF266" s="269"/>
      <c r="DG266" s="269"/>
      <c r="DH266" s="269"/>
      <c r="DI266" s="269"/>
      <c r="DJ266" s="269"/>
      <c r="DK266" s="269"/>
      <c r="DL266" s="1110"/>
      <c r="DM266" s="1110"/>
      <c r="DX266" s="1104"/>
      <c r="DY266" s="1104"/>
    </row>
    <row r="283" spans="110:134" x14ac:dyDescent="0.2">
      <c r="DF283" s="109"/>
      <c r="DH283" s="109"/>
      <c r="DJ283" s="109"/>
    </row>
    <row r="284" spans="110:134" x14ac:dyDescent="0.2">
      <c r="DF284" s="109"/>
      <c r="DJ284" s="109"/>
    </row>
    <row r="285" spans="110:134" x14ac:dyDescent="0.2">
      <c r="DF285" s="109"/>
      <c r="DG285" s="273"/>
      <c r="DH285" s="273"/>
      <c r="DI285" s="273"/>
      <c r="DJ285" s="273"/>
      <c r="DK285" s="273"/>
      <c r="DL285" s="273"/>
      <c r="DM285" s="273"/>
      <c r="DN285" s="273"/>
      <c r="DO285" s="273"/>
      <c r="DP285" s="273"/>
      <c r="DQ285" s="273"/>
      <c r="DR285" s="273"/>
      <c r="DS285" s="273"/>
      <c r="DT285" s="273"/>
      <c r="DU285" s="273"/>
      <c r="DV285" s="273"/>
      <c r="DW285" s="273"/>
      <c r="DX285" s="273"/>
      <c r="DY285" s="273"/>
      <c r="DZ285" s="273"/>
      <c r="EA285" s="273"/>
      <c r="EB285" s="273"/>
      <c r="EC285" s="273"/>
      <c r="ED285" s="273"/>
    </row>
    <row r="286" spans="110:134" x14ac:dyDescent="0.2">
      <c r="DF286" s="109"/>
    </row>
    <row r="287" spans="110:134" x14ac:dyDescent="0.2">
      <c r="DF287" s="216"/>
      <c r="DG287" s="274"/>
      <c r="DH287" s="274"/>
      <c r="DI287" s="274"/>
      <c r="DJ287" s="274"/>
      <c r="DK287" s="274"/>
      <c r="DL287" s="274"/>
      <c r="DM287" s="274"/>
      <c r="DN287" s="274"/>
      <c r="DO287" s="274"/>
      <c r="DP287" s="274"/>
      <c r="DQ287" s="274"/>
      <c r="DR287" s="274"/>
      <c r="DS287" s="274"/>
      <c r="DT287" s="274"/>
      <c r="DU287" s="274"/>
      <c r="DV287" s="274"/>
      <c r="DW287" s="274"/>
      <c r="DX287" s="274"/>
      <c r="DY287" s="274"/>
      <c r="DZ287" s="274"/>
      <c r="EA287" s="274"/>
      <c r="EB287" s="274"/>
      <c r="EC287" s="274"/>
      <c r="ED287" s="274"/>
    </row>
    <row r="288" spans="110:134" x14ac:dyDescent="0.2">
      <c r="DF288" s="109"/>
      <c r="DG288" s="186"/>
      <c r="DH288" s="186"/>
      <c r="DI288" s="186"/>
      <c r="DJ288" s="186"/>
      <c r="DK288" s="186"/>
      <c r="DL288" s="186"/>
      <c r="DM288" s="186"/>
      <c r="DN288" s="186"/>
      <c r="DO288" s="186"/>
      <c r="DP288" s="186"/>
      <c r="DQ288" s="186"/>
      <c r="DR288" s="186"/>
      <c r="DS288" s="186"/>
      <c r="DT288" s="186"/>
      <c r="DU288" s="186"/>
      <c r="DV288" s="186"/>
      <c r="DW288" s="186"/>
      <c r="DX288" s="186"/>
      <c r="DY288" s="186"/>
      <c r="DZ288" s="186"/>
      <c r="EA288" s="186"/>
      <c r="EB288" s="186"/>
      <c r="EC288" s="186"/>
      <c r="ED288" s="186"/>
    </row>
    <row r="290" spans="111:134" x14ac:dyDescent="0.2">
      <c r="DG290" s="217"/>
      <c r="DH290" s="217"/>
      <c r="DI290" s="217"/>
      <c r="DJ290" s="217"/>
      <c r="DK290" s="217"/>
      <c r="DL290" s="217"/>
      <c r="DM290" s="109"/>
      <c r="DN290" s="109"/>
      <c r="DO290" s="109"/>
      <c r="DP290" s="109"/>
      <c r="DQ290" s="109"/>
      <c r="DR290" s="217"/>
      <c r="DS290" s="217"/>
      <c r="DT290" s="217"/>
      <c r="DU290" s="109"/>
      <c r="DV290" s="109"/>
      <c r="DW290" s="109"/>
      <c r="DX290" s="109"/>
      <c r="DY290" s="109"/>
      <c r="DZ290" s="109"/>
      <c r="EA290" s="109"/>
      <c r="EB290" s="109"/>
      <c r="EC290" s="109"/>
      <c r="ED290" s="109"/>
    </row>
    <row r="291" spans="111:134" x14ac:dyDescent="0.2">
      <c r="DG291" s="217"/>
      <c r="DH291" s="217"/>
      <c r="DI291" s="217"/>
      <c r="DJ291" s="217"/>
      <c r="DK291" s="217"/>
      <c r="DL291" s="217"/>
      <c r="DQ291" s="217"/>
      <c r="DR291" s="217"/>
      <c r="DS291" s="217"/>
      <c r="DT291" s="217"/>
      <c r="DY291" s="217"/>
      <c r="DZ291" s="217"/>
      <c r="EA291" s="217"/>
      <c r="EB291" s="217"/>
      <c r="EC291" s="217"/>
      <c r="ED291" s="217"/>
    </row>
  </sheetData>
  <sheetProtection algorithmName="SHA-512" hashValue="s9CSGFKr5VuAD9YOWcie8jTEuNX8JGZo7UYnGSm/tMeRx/+V/6mlQjq+fTOcoLaZHW7/jBifp0gI7efHnAvrNw==" saltValue="armzFPaAdMzcNXKUO4qEYA==" spinCount="100000" sheet="1" objects="1" scenarios="1" selectLockedCells="1"/>
  <protectedRanges>
    <protectedRange sqref="B132:B134 B136 B172 B175 D178:D189 B199 D202:D227 D139:D164" name="Range1"/>
  </protectedRanges>
  <mergeCells count="25">
    <mergeCell ref="DG67:DH67"/>
    <mergeCell ref="DX266:DY266"/>
    <mergeCell ref="W136:AA136"/>
    <mergeCell ref="BA136:BB136"/>
    <mergeCell ref="B166:B171"/>
    <mergeCell ref="W175:AA175"/>
    <mergeCell ref="BA175:BB175"/>
    <mergeCell ref="BA199:BB199"/>
    <mergeCell ref="BV199:BX199"/>
    <mergeCell ref="BV201:BW201"/>
    <mergeCell ref="CH201:CI201"/>
    <mergeCell ref="DL264:DN264"/>
    <mergeCell ref="DL266:DM266"/>
    <mergeCell ref="B130:B131"/>
    <mergeCell ref="BQ60:CA61"/>
    <mergeCell ref="CS60:DA61"/>
    <mergeCell ref="CB61:CC61"/>
    <mergeCell ref="CQ61:CR61"/>
    <mergeCell ref="BQ53:BR53"/>
    <mergeCell ref="CQ54:DA55"/>
    <mergeCell ref="BQ55:BR55"/>
    <mergeCell ref="CO55:CP55"/>
    <mergeCell ref="BQ57:CA58"/>
    <mergeCell ref="CB58:CC58"/>
    <mergeCell ref="CZ58:DA58"/>
  </mergeCells>
  <conditionalFormatting sqref="B142:AE142 AG142:BB142">
    <cfRule type="expression" dxfId="367" priority="77">
      <formula>$B136&lt;4</formula>
    </cfRule>
  </conditionalFormatting>
  <conditionalFormatting sqref="B143:AE143 AG143:BB143">
    <cfRule type="expression" dxfId="366" priority="76">
      <formula>$B136&lt;5</formula>
    </cfRule>
  </conditionalFormatting>
  <conditionalFormatting sqref="B144:AE144 AG144:BB144">
    <cfRule type="expression" dxfId="365" priority="75">
      <formula>$B136&lt;6</formula>
    </cfRule>
  </conditionalFormatting>
  <conditionalFormatting sqref="B145:AE145 AG145:BB145">
    <cfRule type="expression" dxfId="364" priority="74">
      <formula>$B136&lt;7</formula>
    </cfRule>
  </conditionalFormatting>
  <conditionalFormatting sqref="B146:AE146 AG146:BB146">
    <cfRule type="expression" dxfId="363" priority="73">
      <formula>$B136&lt;8</formula>
    </cfRule>
  </conditionalFormatting>
  <conditionalFormatting sqref="B147:AE147 AG147:BB147">
    <cfRule type="expression" dxfId="362" priority="72">
      <formula>$B136&lt;9</formula>
    </cfRule>
  </conditionalFormatting>
  <conditionalFormatting sqref="B148:AE148 AG148:BB148">
    <cfRule type="expression" dxfId="361" priority="71">
      <formula>$B136&lt;10</formula>
    </cfRule>
  </conditionalFormatting>
  <conditionalFormatting sqref="B149:AE149 AG149:BB149">
    <cfRule type="expression" dxfId="360" priority="70">
      <formula>$B136&lt;11</formula>
    </cfRule>
  </conditionalFormatting>
  <conditionalFormatting sqref="B150:AE150 AG150:BB150">
    <cfRule type="expression" dxfId="359" priority="69">
      <formula>$B136&lt;12</formula>
    </cfRule>
  </conditionalFormatting>
  <conditionalFormatting sqref="B151:AE151 AG151:BB151">
    <cfRule type="expression" dxfId="358" priority="68">
      <formula>$B136&lt;13</formula>
    </cfRule>
  </conditionalFormatting>
  <conditionalFormatting sqref="B152:AE152 AG152:BB152">
    <cfRule type="expression" dxfId="357" priority="67">
      <formula>$B136&lt;14</formula>
    </cfRule>
  </conditionalFormatting>
  <conditionalFormatting sqref="B153:AE153 AG153:BB153">
    <cfRule type="expression" dxfId="356" priority="66">
      <formula>$B136&lt;15</formula>
    </cfRule>
  </conditionalFormatting>
  <conditionalFormatting sqref="B154:AE154 AG154:BB154">
    <cfRule type="expression" dxfId="355" priority="65">
      <formula>$B136&lt;16</formula>
    </cfRule>
  </conditionalFormatting>
  <conditionalFormatting sqref="B155:AE155 AG155:BB155">
    <cfRule type="expression" dxfId="354" priority="64">
      <formula>$B136&lt;17</formula>
    </cfRule>
  </conditionalFormatting>
  <conditionalFormatting sqref="B156:AE156 AG156:BB156">
    <cfRule type="expression" dxfId="353" priority="63">
      <formula>$B136&lt;18</formula>
    </cfRule>
  </conditionalFormatting>
  <conditionalFormatting sqref="B157:AE157 AG157:BB157">
    <cfRule type="expression" dxfId="352" priority="62">
      <formula>$B136&lt;19</formula>
    </cfRule>
  </conditionalFormatting>
  <conditionalFormatting sqref="B158:AE158 AG158:BB158">
    <cfRule type="expression" dxfId="351" priority="61">
      <formula>$B136&lt;20</formula>
    </cfRule>
  </conditionalFormatting>
  <conditionalFormatting sqref="B159:AE159 AG159:BB159">
    <cfRule type="expression" dxfId="350" priority="60">
      <formula>$B136&lt;21</formula>
    </cfRule>
  </conditionalFormatting>
  <conditionalFormatting sqref="B160:AE160 AG160:BB160">
    <cfRule type="expression" dxfId="349" priority="59">
      <formula>$B136&lt;22</formula>
    </cfRule>
  </conditionalFormatting>
  <conditionalFormatting sqref="B161:AE161 AG161:BB161">
    <cfRule type="expression" dxfId="348" priority="58">
      <formula>$B136&lt;23</formula>
    </cfRule>
  </conditionalFormatting>
  <conditionalFormatting sqref="B162:AE162 AG162:BB162">
    <cfRule type="expression" dxfId="347" priority="57">
      <formula>$B136&lt;24</formula>
    </cfRule>
  </conditionalFormatting>
  <conditionalFormatting sqref="B163:AE163 AG163:BB163">
    <cfRule type="expression" dxfId="346" priority="56">
      <formula>$B136&lt;25</formula>
    </cfRule>
  </conditionalFormatting>
  <conditionalFormatting sqref="B164:AE164 AG164:BB164">
    <cfRule type="expression" dxfId="345" priority="55">
      <formula>$B136&lt;26</formula>
    </cfRule>
  </conditionalFormatting>
  <conditionalFormatting sqref="B180:AP180 AS180:BB180">
    <cfRule type="expression" dxfId="344" priority="126" stopIfTrue="1">
      <formula>$B$175&lt;3</formula>
    </cfRule>
  </conditionalFormatting>
  <conditionalFormatting sqref="B181:AP181 AS181:BB181">
    <cfRule type="expression" dxfId="343" priority="125">
      <formula>$B$175&lt;4</formula>
    </cfRule>
  </conditionalFormatting>
  <conditionalFormatting sqref="B182:AP182 AS182:BB182">
    <cfRule type="expression" dxfId="342" priority="124">
      <formula>$B$175&lt;5</formula>
    </cfRule>
  </conditionalFormatting>
  <conditionalFormatting sqref="B183:AP183 AS183:BB183">
    <cfRule type="expression" dxfId="341" priority="123">
      <formula>$B$175&lt;6</formula>
    </cfRule>
  </conditionalFormatting>
  <conditionalFormatting sqref="B184:AP184 AS184:BB184">
    <cfRule type="expression" dxfId="340" priority="122">
      <formula>$B$175&lt;7</formula>
    </cfRule>
  </conditionalFormatting>
  <conditionalFormatting sqref="B185:AP185 AS185:BB185">
    <cfRule type="expression" dxfId="339" priority="121">
      <formula>$B$175&lt;8</formula>
    </cfRule>
  </conditionalFormatting>
  <conditionalFormatting sqref="B186:AP186 AS186:BB186">
    <cfRule type="expression" dxfId="338" priority="120">
      <formula>$B$175&lt;9</formula>
    </cfRule>
  </conditionalFormatting>
  <conditionalFormatting sqref="B187:AP187 AS187:BB187">
    <cfRule type="expression" dxfId="337" priority="119">
      <formula>$B$175&lt;10</formula>
    </cfRule>
  </conditionalFormatting>
  <conditionalFormatting sqref="B188:AP188 AS188:BB188">
    <cfRule type="expression" dxfId="336" priority="118">
      <formula>$B$175&lt;11</formula>
    </cfRule>
  </conditionalFormatting>
  <conditionalFormatting sqref="B189:AP189 AS189:BB189">
    <cfRule type="expression" dxfId="335" priority="116">
      <formula>$B$175&lt;12</formula>
    </cfRule>
  </conditionalFormatting>
  <conditionalFormatting sqref="B140:BB140">
    <cfRule type="expression" dxfId="334" priority="79">
      <formula>$B136&lt;2</formula>
    </cfRule>
  </conditionalFormatting>
  <conditionalFormatting sqref="B141:BB141 AF142:AF164">
    <cfRule type="expression" dxfId="333" priority="78">
      <formula>$B136&lt;3</formula>
    </cfRule>
  </conditionalFormatting>
  <conditionalFormatting sqref="B179:BB179 AQ180:AR189">
    <cfRule type="expression" dxfId="332" priority="127" stopIfTrue="1">
      <formula>$B$175&lt;2</formula>
    </cfRule>
  </conditionalFormatting>
  <conditionalFormatting sqref="B203:BB203">
    <cfRule type="expression" dxfId="331" priority="25">
      <formula>$B199&lt;2</formula>
    </cfRule>
  </conditionalFormatting>
  <conditionalFormatting sqref="B204:BB204">
    <cfRule type="expression" dxfId="330" priority="24">
      <formula>$B199&lt;3</formula>
    </cfRule>
  </conditionalFormatting>
  <conditionalFormatting sqref="B205:BB205">
    <cfRule type="expression" dxfId="329" priority="23">
      <formula>$B199&lt;4</formula>
    </cfRule>
  </conditionalFormatting>
  <conditionalFormatting sqref="B206:BB206">
    <cfRule type="expression" dxfId="328" priority="22">
      <formula>$B199&lt;5</formula>
    </cfRule>
  </conditionalFormatting>
  <conditionalFormatting sqref="B207:BB207">
    <cfRule type="expression" dxfId="327" priority="21">
      <formula>$B199&lt;6</formula>
    </cfRule>
  </conditionalFormatting>
  <conditionalFormatting sqref="B208:BB208">
    <cfRule type="expression" dxfId="326" priority="20">
      <formula>$B199&lt;7</formula>
    </cfRule>
  </conditionalFormatting>
  <conditionalFormatting sqref="B209:BB209">
    <cfRule type="expression" dxfId="325" priority="19">
      <formula>$B199&lt;8</formula>
    </cfRule>
  </conditionalFormatting>
  <conditionalFormatting sqref="B210:BB210">
    <cfRule type="expression" dxfId="324" priority="18">
      <formula>$B199&lt;9</formula>
    </cfRule>
  </conditionalFormatting>
  <conditionalFormatting sqref="B211:BB211">
    <cfRule type="expression" dxfId="323" priority="17">
      <formula>$B199&lt;10</formula>
    </cfRule>
  </conditionalFormatting>
  <conditionalFormatting sqref="B212:BB212">
    <cfRule type="expression" dxfId="322" priority="16">
      <formula>$B199&lt;11</formula>
    </cfRule>
  </conditionalFormatting>
  <conditionalFormatting sqref="B213:BB213">
    <cfRule type="expression" dxfId="321" priority="15">
      <formula>$B199&lt;12</formula>
    </cfRule>
  </conditionalFormatting>
  <conditionalFormatting sqref="B214:BB214">
    <cfRule type="expression" dxfId="320" priority="14">
      <formula>$B199&lt;13</formula>
    </cfRule>
  </conditionalFormatting>
  <conditionalFormatting sqref="B215:BB215">
    <cfRule type="expression" dxfId="319" priority="13">
      <formula>$B199&lt;14</formula>
    </cfRule>
  </conditionalFormatting>
  <conditionalFormatting sqref="B216:BB216">
    <cfRule type="expression" dxfId="318" priority="12">
      <formula>$B199&lt;15</formula>
    </cfRule>
  </conditionalFormatting>
  <conditionalFormatting sqref="B217:BB217">
    <cfRule type="expression" dxfId="317" priority="11">
      <formula>$B199&lt;16</formula>
    </cfRule>
  </conditionalFormatting>
  <conditionalFormatting sqref="B218:BB218">
    <cfRule type="expression" dxfId="316" priority="10">
      <formula>$B199&lt;17</formula>
    </cfRule>
  </conditionalFormatting>
  <conditionalFormatting sqref="B219:BB219">
    <cfRule type="expression" dxfId="315" priority="9">
      <formula>$B199&lt;18</formula>
    </cfRule>
  </conditionalFormatting>
  <conditionalFormatting sqref="B220:BB220">
    <cfRule type="expression" dxfId="314" priority="8">
      <formula>$B199&lt;19</formula>
    </cfRule>
  </conditionalFormatting>
  <conditionalFormatting sqref="B221:BB221">
    <cfRule type="expression" dxfId="313" priority="7">
      <formula>$B199&lt;20</formula>
    </cfRule>
  </conditionalFormatting>
  <conditionalFormatting sqref="B222:BB222">
    <cfRule type="expression" dxfId="312" priority="6">
      <formula>$B199&lt;21</formula>
    </cfRule>
  </conditionalFormatting>
  <conditionalFormatting sqref="B223:BB223">
    <cfRule type="expression" dxfId="311" priority="5">
      <formula>$B199&lt;22</formula>
    </cfRule>
  </conditionalFormatting>
  <conditionalFormatting sqref="B224:BB224">
    <cfRule type="expression" dxfId="310" priority="4">
      <formula>$B199&lt;23</formula>
    </cfRule>
  </conditionalFormatting>
  <conditionalFormatting sqref="B225:BB225">
    <cfRule type="expression" dxfId="309" priority="3">
      <formula>$B199&lt;24</formula>
    </cfRule>
  </conditionalFormatting>
  <conditionalFormatting sqref="B226:BB226">
    <cfRule type="expression" dxfId="308" priority="2">
      <formula>$B199&lt;25</formula>
    </cfRule>
  </conditionalFormatting>
  <conditionalFormatting sqref="B227:BB227">
    <cfRule type="expression" dxfId="307" priority="1">
      <formula>$B199&lt;26</formula>
    </cfRule>
  </conditionalFormatting>
  <conditionalFormatting sqref="D129:D130">
    <cfRule type="cellIs" dxfId="306" priority="151" stopIfTrue="1" operator="equal">
      <formula>"change the angle of frame or of cabinets"</formula>
    </cfRule>
  </conditionalFormatting>
  <conditionalFormatting sqref="D131">
    <cfRule type="cellIs" dxfId="305" priority="150" stopIfTrue="1" operator="equal">
      <formula>"USE EXBAR AR AT THE FRONT"</formula>
    </cfRule>
  </conditionalFormatting>
  <conditionalFormatting sqref="D132">
    <cfRule type="cellIs" dxfId="304" priority="149" stopIfTrue="1" operator="equal">
      <formula>"USE EXBAR AR AT THE BACK"</formula>
    </cfRule>
  </conditionalFormatting>
  <conditionalFormatting sqref="D139:D164">
    <cfRule type="cellIs" dxfId="303" priority="81" operator="notEqual">
      <formula>0</formula>
    </cfRule>
  </conditionalFormatting>
  <conditionalFormatting sqref="D178:D189">
    <cfRule type="cellIs" dxfId="302" priority="130" operator="notEqual">
      <formula>0</formula>
    </cfRule>
  </conditionalFormatting>
  <conditionalFormatting sqref="D202:D227">
    <cfRule type="cellIs" dxfId="301" priority="27" operator="notEqual">
      <formula>0</formula>
    </cfRule>
  </conditionalFormatting>
  <conditionalFormatting sqref="E178">
    <cfRule type="expression" dxfId="300" priority="129" stopIfTrue="1">
      <formula>$B$175&lt;1</formula>
    </cfRule>
  </conditionalFormatting>
  <conditionalFormatting sqref="AH228">
    <cfRule type="expression" dxfId="299" priority="82">
      <formula>$B$199&lt;20</formula>
    </cfRule>
  </conditionalFormatting>
  <conditionalFormatting sqref="BA139:BB164">
    <cfRule type="cellIs" dxfId="298" priority="80" operator="lessThan">
      <formula>10</formula>
    </cfRule>
  </conditionalFormatting>
  <conditionalFormatting sqref="BA178:BB189">
    <cfRule type="cellIs" dxfId="297" priority="157" operator="lessThan">
      <formula>10</formula>
    </cfRule>
  </conditionalFormatting>
  <conditionalFormatting sqref="BA202:BB227">
    <cfRule type="cellIs" dxfId="296" priority="26" operator="lessThan">
      <formula>10</formula>
    </cfRule>
  </conditionalFormatting>
  <conditionalFormatting sqref="BK181:BK217">
    <cfRule type="cellIs" dxfId="295" priority="155" stopIfTrue="1" operator="equal">
      <formula>FALSE</formula>
    </cfRule>
  </conditionalFormatting>
  <conditionalFormatting sqref="BN54">
    <cfRule type="cellIs" dxfId="294" priority="96" stopIfTrue="1" operator="equal">
      <formula>"negative force at the motor"</formula>
    </cfRule>
  </conditionalFormatting>
  <conditionalFormatting sqref="BN54:BN55">
    <cfRule type="cellIs" dxfId="293" priority="95" operator="equal">
      <formula>"""OK"""</formula>
    </cfRule>
  </conditionalFormatting>
  <conditionalFormatting sqref="BN55">
    <cfRule type="cellIs" dxfId="292" priority="154" stopIfTrue="1" operator="equal">
      <formula>"overload"</formula>
    </cfRule>
  </conditionalFormatting>
  <conditionalFormatting sqref="BN57">
    <cfRule type="cellIs" dxfId="291" priority="94" stopIfTrue="1" operator="equal">
      <formula>"negative force at the motor"</formula>
    </cfRule>
  </conditionalFormatting>
  <conditionalFormatting sqref="BN57:BN58">
    <cfRule type="cellIs" dxfId="290" priority="93" operator="equal">
      <formula>"""OK"""</formula>
    </cfRule>
  </conditionalFormatting>
  <conditionalFormatting sqref="BN60">
    <cfRule type="cellIs" dxfId="289" priority="92" stopIfTrue="1" operator="equal">
      <formula>"negative force at the motor"</formula>
    </cfRule>
  </conditionalFormatting>
  <conditionalFormatting sqref="BN60:BN61">
    <cfRule type="cellIs" dxfId="288" priority="91" operator="equal">
      <formula>"""OK"""</formula>
    </cfRule>
  </conditionalFormatting>
  <conditionalFormatting sqref="BN84 BN89 BN130">
    <cfRule type="cellIs" dxfId="287" priority="152" operator="equal">
      <formula>"""OK"""</formula>
    </cfRule>
  </conditionalFormatting>
  <conditionalFormatting sqref="BN84 BN130 BN89 BN58 BN61">
    <cfRule type="cellIs" dxfId="286" priority="162" stopIfTrue="1" operator="equal">
      <formula>"overload"</formula>
    </cfRule>
  </conditionalFormatting>
  <conditionalFormatting sqref="BN84 BN130 BO83:BO84">
    <cfRule type="expression" dxfId="285" priority="153">
      <formula>$B$132&lt;&gt;0</formula>
    </cfRule>
  </conditionalFormatting>
  <conditionalFormatting sqref="BO129:BO130">
    <cfRule type="expression" dxfId="284" priority="90">
      <formula>$B$132&lt;&gt;0</formula>
    </cfRule>
  </conditionalFormatting>
  <conditionalFormatting sqref="BQ129:CG129">
    <cfRule type="expression" dxfId="283" priority="163">
      <formula>$B$132=0</formula>
    </cfRule>
  </conditionalFormatting>
  <conditionalFormatting sqref="BQ85:DB87 BV136:CI143">
    <cfRule type="cellIs" dxfId="282" priority="156" stopIfTrue="1" operator="equal">
      <formula>FALSE</formula>
    </cfRule>
  </conditionalFormatting>
  <conditionalFormatting sqref="CB83:CR83">
    <cfRule type="cellIs" dxfId="281" priority="160" operator="equal">
      <formula>0</formula>
    </cfRule>
    <cfRule type="expression" dxfId="280" priority="161">
      <formula>$B$132=0</formula>
    </cfRule>
  </conditionalFormatting>
  <conditionalFormatting sqref="CK129:DA129">
    <cfRule type="expression" dxfId="279" priority="164">
      <formula>$B$132=0</formula>
    </cfRule>
  </conditionalFormatting>
  <dataValidations count="10">
    <dataValidation type="custom" allowBlank="1" showInputMessage="1" showErrorMessage="1" sqref="D203:D227" xr:uid="{00000000-0002-0000-0400-000000000000}">
      <formula1>OR(D203=0.5,D203=1,D203=2,D203=2.5,D203=3,D203=4,D203=5,D203=6,D203=7,D203=8,D203=9,D203=10)</formula1>
    </dataValidation>
    <dataValidation type="whole" allowBlank="1" showInputMessage="1" showErrorMessage="1" errorTitle="Coda Audio" error="YOU HAVE ENTERED A WRONG NUMBER OF CABINETS" promptTitle="Coda Audio" prompt="ENTER THE NUMBER OF CABINETS FROM 1 UP TO 26" sqref="B199 B136" xr:uid="{00000000-0002-0000-0400-000001000000}">
      <formula1>1</formula1>
      <formula2>26</formula2>
    </dataValidation>
    <dataValidation type="custom" allowBlank="1" showInputMessage="1" showErrorMessage="1" sqref="B172" xr:uid="{00000000-0002-0000-0400-000002000000}">
      <formula1>OR(B172=-5,B172=-4,B172=-3,B172=-2,B172=-1.5,B172=-1,B172=0,B172=0.5,B172=1,B172=2,B172=2.5,B172=3,B172=4,B172=5)</formula1>
    </dataValidation>
    <dataValidation type="decimal" allowBlank="1" showInputMessage="1" showErrorMessage="1" sqref="B132:B134" xr:uid="{00000000-0002-0000-0400-000003000000}">
      <formula1>-89.9</formula1>
      <formula2>89.9</formula2>
    </dataValidation>
    <dataValidation type="custom" allowBlank="1" showInputMessage="1" showErrorMessage="1" sqref="D178:D189" xr:uid="{00000000-0002-0000-0400-000004000000}">
      <formula1>OR(D178=0,D178=2.5,D178=5)</formula1>
    </dataValidation>
    <dataValidation type="whole" allowBlank="1" showInputMessage="1" showErrorMessage="1" sqref="D202 D139" xr:uid="{00000000-0002-0000-0400-000005000000}">
      <formula1>-2</formula1>
      <formula2>4</formula2>
    </dataValidation>
    <dataValidation type="decimal" allowBlank="1" showInputMessage="1" showErrorMessage="1" sqref="F178:G178 F139:G139 F202:G202" xr:uid="{00000000-0002-0000-0400-000006000000}">
      <formula1>0</formula1>
      <formula2>4</formula2>
    </dataValidation>
    <dataValidation type="decimal" allowBlank="1" showInputMessage="1" showErrorMessage="1" sqref="G179:G189 G140:G173 D173 G203:G227 F204:F227 F180:F189 F141:F173 D165:D166 D168:D169" xr:uid="{00000000-0002-0000-0400-000007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75" xr:uid="{00000000-0002-0000-0400-000008000000}">
      <formula1>1</formula1>
      <formula2>12</formula2>
    </dataValidation>
    <dataValidation type="custom" allowBlank="1" showInputMessage="1" showErrorMessage="1" sqref="D140:D164" xr:uid="{00000000-0002-0000-0400-000009000000}">
      <formula1>OR(D140=0.5,D140=2.5,D140=1,D140=2,D140=2.5,D140=3,D140=4,D140=5,D140=6,D140=7,D140=8,D140=9,D140=10)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C000"/>
  </sheetPr>
  <dimension ref="A1:EN290"/>
  <sheetViews>
    <sheetView topLeftCell="A25" zoomScale="50" zoomScaleNormal="50" workbookViewId="0">
      <selection activeCell="D139" sqref="D139"/>
    </sheetView>
  </sheetViews>
  <sheetFormatPr baseColWidth="10" defaultColWidth="9.1640625" defaultRowHeight="18" x14ac:dyDescent="0.2"/>
  <cols>
    <col min="1" max="1" width="3.83203125" customWidth="1"/>
    <col min="2" max="2" width="35.5" style="24" customWidth="1"/>
    <col min="3" max="3" width="19.83203125" style="24" hidden="1" customWidth="1"/>
    <col min="4" max="4" width="36" customWidth="1"/>
    <col min="5" max="5" width="43.5" customWidth="1"/>
    <col min="6" max="6" width="35" hidden="1" customWidth="1"/>
    <col min="7" max="7" width="31.6640625" hidden="1" customWidth="1"/>
    <col min="8" max="8" width="29.6640625" style="48" hidden="1" customWidth="1"/>
    <col min="9" max="9" width="20.1640625" style="48" hidden="1" customWidth="1"/>
    <col min="10" max="18" width="9" style="48" hidden="1" customWidth="1"/>
    <col min="19" max="19" width="18.83203125" style="48" hidden="1" customWidth="1"/>
    <col min="20" max="20" width="20.5" style="48" hidden="1" customWidth="1"/>
    <col min="21" max="21" width="13.83203125" style="48" hidden="1" customWidth="1"/>
    <col min="22" max="22" width="19.83203125" style="48" hidden="1" customWidth="1"/>
    <col min="23" max="27" width="10" style="48" hidden="1" customWidth="1"/>
    <col min="28" max="28" width="28" style="48" bestFit="1" customWidth="1"/>
    <col min="29" max="29" width="26.33203125" style="48" hidden="1" customWidth="1"/>
    <col min="30" max="31" width="11.33203125" style="48" hidden="1" customWidth="1"/>
    <col min="32" max="32" width="27.83203125" style="48" hidden="1" customWidth="1"/>
    <col min="33" max="33" width="163" style="48" hidden="1" customWidth="1"/>
    <col min="34" max="34" width="19.5" style="48" hidden="1" customWidth="1"/>
    <col min="35" max="35" width="11.33203125" style="48" hidden="1" customWidth="1"/>
    <col min="36" max="36" width="23.6640625" style="48" hidden="1" customWidth="1"/>
    <col min="37" max="37" width="19.83203125" style="48" hidden="1" customWidth="1"/>
    <col min="38" max="38" width="139.83203125" style="48" hidden="1" customWidth="1"/>
    <col min="39" max="39" width="22.33203125" style="48" hidden="1" customWidth="1"/>
    <col min="40" max="40" width="22.5" style="48" hidden="1" customWidth="1"/>
    <col min="41" max="41" width="72.1640625" style="48" hidden="1" customWidth="1"/>
    <col min="42" max="42" width="54.1640625" style="48" hidden="1" customWidth="1"/>
    <col min="43" max="43" width="34.1640625" style="48" hidden="1" customWidth="1"/>
    <col min="44" max="44" width="32.33203125" style="48" hidden="1" customWidth="1"/>
    <col min="45" max="45" width="19.83203125" style="48" hidden="1" customWidth="1"/>
    <col min="46" max="46" width="20.83203125" style="48" hidden="1" customWidth="1"/>
    <col min="47" max="47" width="37.6640625" style="48" hidden="1" customWidth="1"/>
    <col min="48" max="48" width="19.83203125" style="48" hidden="1" customWidth="1"/>
    <col min="49" max="49" width="22.33203125" style="48" hidden="1" customWidth="1"/>
    <col min="50" max="50" width="19.83203125" style="48" hidden="1" customWidth="1"/>
    <col min="51" max="52" width="12.1640625" style="48" hidden="1" customWidth="1"/>
    <col min="53" max="54" width="12.1640625" style="48" bestFit="1" customWidth="1"/>
    <col min="55" max="55" width="91.83203125" hidden="1" customWidth="1"/>
    <col min="56" max="56" width="13.83203125" hidden="1" customWidth="1"/>
    <col min="57" max="57" width="5.33203125" hidden="1" customWidth="1"/>
    <col min="58" max="58" width="8.5" hidden="1" customWidth="1"/>
    <col min="59" max="59" width="136" hidden="1" customWidth="1"/>
    <col min="60" max="60" width="17" hidden="1" customWidth="1"/>
    <col min="61" max="62" width="16.33203125" hidden="1" customWidth="1"/>
    <col min="63" max="63" width="9.5" hidden="1" customWidth="1"/>
    <col min="64" max="64" width="40.6640625" hidden="1" customWidth="1"/>
    <col min="65" max="65" width="27.5" style="65" hidden="1" customWidth="1"/>
    <col min="66" max="66" width="24.83203125" bestFit="1" customWidth="1"/>
    <col min="67" max="67" width="34.33203125" style="43" customWidth="1"/>
    <col min="68" max="68" width="43.6640625" customWidth="1"/>
    <col min="69" max="104" width="6.5" customWidth="1"/>
    <col min="105" max="105" width="6.83203125" customWidth="1"/>
    <col min="106" max="106" width="7.6640625" hidden="1" customWidth="1"/>
    <col min="107" max="107" width="16" hidden="1" customWidth="1"/>
    <col min="108" max="108" width="41" hidden="1" customWidth="1"/>
    <col min="109" max="110" width="41.5" hidden="1" customWidth="1"/>
    <col min="111" max="122" width="6.5" hidden="1" customWidth="1"/>
    <col min="123" max="140" width="6.5" customWidth="1"/>
    <col min="144" max="144" width="11.5" customWidth="1"/>
    <col min="145" max="145" width="9.33203125" customWidth="1"/>
  </cols>
  <sheetData>
    <row r="1" spans="2:15" ht="20" hidden="1" x14ac:dyDescent="0.2">
      <c r="D1" s="381" t="s">
        <v>93</v>
      </c>
      <c r="E1" s="381" t="s">
        <v>94</v>
      </c>
      <c r="F1" s="381" t="s">
        <v>95</v>
      </c>
      <c r="G1" s="789" t="s">
        <v>165</v>
      </c>
      <c r="H1" s="820">
        <v>18000</v>
      </c>
      <c r="I1" s="791"/>
      <c r="J1" s="791"/>
      <c r="K1" s="791"/>
      <c r="L1" s="791"/>
      <c r="M1" s="791"/>
      <c r="N1" s="791"/>
      <c r="O1" s="792"/>
    </row>
    <row r="2" spans="2:15" ht="20" hidden="1" x14ac:dyDescent="0.2">
      <c r="B2" s="295" t="s">
        <v>24</v>
      </c>
      <c r="C2" s="28">
        <v>688</v>
      </c>
      <c r="D2" s="29">
        <f>+COS(($B$133*-1)*3.14159265358979/180)*C2</f>
        <v>688</v>
      </c>
      <c r="E2" s="30">
        <f>+COS(($B$133*-1)*3.14159265358979/180)*43</f>
        <v>43</v>
      </c>
      <c r="F2" s="31">
        <f>+COS((($B$133*-1)+72.969997)*3.14159265358979/180)*162.1867</f>
        <v>47.500013702602963</v>
      </c>
      <c r="G2" s="793" t="s">
        <v>157</v>
      </c>
      <c r="H2" s="821">
        <v>77</v>
      </c>
      <c r="I2"/>
      <c r="J2"/>
      <c r="K2"/>
      <c r="L2"/>
      <c r="M2"/>
      <c r="N2"/>
      <c r="O2" s="794"/>
    </row>
    <row r="3" spans="2:15" ht="21" hidden="1" thickBot="1" x14ac:dyDescent="0.25">
      <c r="B3" s="27" t="s">
        <v>102</v>
      </c>
      <c r="C3" s="32">
        <f>+C9-47.5</f>
        <v>227.31012123082678</v>
      </c>
      <c r="D3" s="29">
        <f>+C9-F2</f>
        <v>227.31010752822382</v>
      </c>
      <c r="G3" s="793" t="s">
        <v>158</v>
      </c>
      <c r="H3" s="822">
        <v>215</v>
      </c>
      <c r="I3" s="165"/>
      <c r="J3"/>
      <c r="K3"/>
      <c r="L3"/>
      <c r="M3"/>
      <c r="N3"/>
      <c r="O3" s="794"/>
    </row>
    <row r="4" spans="2:15" ht="58" hidden="1" thickBot="1" x14ac:dyDescent="0.25">
      <c r="B4" s="33" t="s">
        <v>103</v>
      </c>
      <c r="C4" s="34">
        <v>1075</v>
      </c>
      <c r="D4" s="29">
        <f>+COS(($B$133*-1)*3.14159265358979/180)*C4</f>
        <v>1075</v>
      </c>
      <c r="G4" s="795" t="s">
        <v>178</v>
      </c>
      <c r="H4" s="823">
        <v>860</v>
      </c>
      <c r="I4" s="783">
        <v>1</v>
      </c>
      <c r="J4" s="759" t="s">
        <v>173</v>
      </c>
      <c r="K4" s="924"/>
      <c r="L4" s="924"/>
      <c r="M4" s="924"/>
      <c r="N4"/>
      <c r="O4" s="794"/>
    </row>
    <row r="5" spans="2:15" ht="38" hidden="1" x14ac:dyDescent="0.2">
      <c r="B5" s="33" t="s">
        <v>104</v>
      </c>
      <c r="C5" s="34">
        <f>+C9+425.5</f>
        <v>700.31012123082678</v>
      </c>
      <c r="D5" s="29">
        <f>+(COS(($B$133*-1)*3.14159265358979/180)*473)+$D$3</f>
        <v>700.31010752822385</v>
      </c>
      <c r="G5" s="795" t="s">
        <v>159</v>
      </c>
      <c r="H5" s="823">
        <v>688</v>
      </c>
      <c r="I5"/>
      <c r="J5" s="761" t="s">
        <v>162</v>
      </c>
      <c r="K5" s="761" t="s">
        <v>170</v>
      </c>
      <c r="L5" s="771" t="s">
        <v>169</v>
      </c>
      <c r="M5" s="924"/>
      <c r="N5"/>
      <c r="O5" s="794"/>
    </row>
    <row r="6" spans="2:15" ht="21" hidden="1" thickBot="1" x14ac:dyDescent="0.25">
      <c r="B6" s="170"/>
      <c r="C6" s="170"/>
      <c r="G6" s="795" t="s">
        <v>204</v>
      </c>
      <c r="H6" s="823">
        <v>602</v>
      </c>
      <c r="I6"/>
      <c r="J6" s="763">
        <f>+H9/H8*BQ27</f>
        <v>288.43105099371559</v>
      </c>
      <c r="K6" s="763">
        <f>((H8-H9)/H8)*BQ27</f>
        <v>-198.29634755817946</v>
      </c>
      <c r="L6" s="763">
        <f>+CO27</f>
        <v>168.4652965644639</v>
      </c>
      <c r="M6" s="761" t="s">
        <v>168</v>
      </c>
      <c r="N6"/>
      <c r="O6" s="794"/>
    </row>
    <row r="7" spans="2:15" ht="39" hidden="1" customHeight="1" thickBot="1" x14ac:dyDescent="0.25">
      <c r="B7" s="296" t="s">
        <v>16</v>
      </c>
      <c r="C7" s="297">
        <f>+C11+C16+30+4.5+0.5</f>
        <v>258.60000000000002</v>
      </c>
      <c r="D7" s="887" t="s">
        <v>223</v>
      </c>
      <c r="G7" s="796" t="s">
        <v>175</v>
      </c>
      <c r="H7" s="824">
        <f>(+SIN(($B$133*-1)*3.14159265358979/180)*H2)</f>
        <v>0</v>
      </c>
      <c r="I7"/>
      <c r="J7" s="764">
        <f>ABS($H$1/J6)</f>
        <v>62.406595746143118</v>
      </c>
      <c r="K7" s="764">
        <f>ABS($H$1/K6)</f>
        <v>90.773230176208173</v>
      </c>
      <c r="L7" s="764">
        <f>ABS($H$1/L6)</f>
        <v>106.846931487235</v>
      </c>
      <c r="M7" s="766" t="s">
        <v>167</v>
      </c>
      <c r="N7"/>
      <c r="O7" s="794"/>
    </row>
    <row r="8" spans="2:15" ht="20" hidden="1" x14ac:dyDescent="0.2">
      <c r="B8" s="296" t="s">
        <v>17</v>
      </c>
      <c r="C8" s="296">
        <f>+AS139</f>
        <v>493.41445131692666</v>
      </c>
      <c r="G8" s="796" t="s">
        <v>174</v>
      </c>
      <c r="H8" s="824">
        <f>(+COS(($B$133*-1)*3.14159265358979/180)*H3)</f>
        <v>215</v>
      </c>
      <c r="I8"/>
      <c r="J8" s="1045">
        <f>ABS($E$20/BQ27)</f>
        <v>88.756047283403561</v>
      </c>
      <c r="K8" s="1045"/>
      <c r="L8" s="1045">
        <f>ABS($E$20/CO27)</f>
        <v>47.487525105437776</v>
      </c>
      <c r="M8" s="1046" t="s">
        <v>308</v>
      </c>
      <c r="N8"/>
      <c r="O8" s="794"/>
    </row>
    <row r="9" spans="2:15" ht="21" hidden="1" thickBot="1" x14ac:dyDescent="0.25">
      <c r="B9" s="296" t="s">
        <v>14</v>
      </c>
      <c r="C9" s="296">
        <f>+AP135</f>
        <v>274.81012123082678</v>
      </c>
      <c r="G9" s="793" t="s">
        <v>172</v>
      </c>
      <c r="H9" s="824">
        <f>+D2+H7</f>
        <v>688</v>
      </c>
      <c r="I9"/>
      <c r="J9" s="43"/>
      <c r="K9" s="43"/>
      <c r="L9" s="43"/>
      <c r="M9" s="43"/>
      <c r="N9"/>
      <c r="O9" s="794"/>
    </row>
    <row r="10" spans="2:15" ht="21" hidden="1" thickBot="1" x14ac:dyDescent="0.25">
      <c r="B10" s="955" t="s">
        <v>101</v>
      </c>
      <c r="C10" s="975">
        <v>72</v>
      </c>
      <c r="D10" s="956" t="s">
        <v>240</v>
      </c>
      <c r="G10" s="797"/>
      <c r="H10"/>
      <c r="I10" s="783">
        <v>2</v>
      </c>
      <c r="J10" s="759" t="s">
        <v>180</v>
      </c>
      <c r="K10" s="759"/>
      <c r="L10" s="760"/>
      <c r="M10" s="760"/>
      <c r="N10"/>
      <c r="O10" s="794"/>
    </row>
    <row r="11" spans="2:15" ht="20" hidden="1" x14ac:dyDescent="0.2">
      <c r="B11" s="382" t="s">
        <v>253</v>
      </c>
      <c r="C11" s="1032">
        <f>+B174*C10+31</f>
        <v>103</v>
      </c>
      <c r="G11" s="793" t="s">
        <v>171</v>
      </c>
      <c r="H11" s="824">
        <f>+D2-H7</f>
        <v>688</v>
      </c>
      <c r="I11"/>
      <c r="J11" s="771" t="s">
        <v>163</v>
      </c>
      <c r="K11" s="761" t="s">
        <v>160</v>
      </c>
      <c r="L11" s="761" t="s">
        <v>161</v>
      </c>
      <c r="M11" s="924"/>
      <c r="N11"/>
      <c r="O11" s="794"/>
    </row>
    <row r="12" spans="2:15" ht="21" hidden="1" thickBot="1" x14ac:dyDescent="0.25">
      <c r="B12" s="382" t="s">
        <v>119</v>
      </c>
      <c r="C12" s="297">
        <v>747</v>
      </c>
      <c r="D12" s="300"/>
      <c r="G12" s="797"/>
      <c r="H12" s="26"/>
      <c r="I12"/>
      <c r="J12" s="763">
        <f>(CB30)</f>
        <v>203.91870343553614</v>
      </c>
      <c r="K12" s="763">
        <f>((+H8-H11)/H8*CZ30)</f>
        <v>-120.29885244182057</v>
      </c>
      <c r="L12" s="763">
        <f>(H11/H8*CZ30)</f>
        <v>174.98014900628448</v>
      </c>
      <c r="M12" s="761" t="s">
        <v>168</v>
      </c>
      <c r="N12"/>
      <c r="O12" s="794"/>
    </row>
    <row r="13" spans="2:15" ht="21.75" hidden="1" customHeight="1" thickBot="1" x14ac:dyDescent="0.25">
      <c r="B13" s="955" t="s">
        <v>114</v>
      </c>
      <c r="C13" s="975"/>
      <c r="D13" s="956" t="s">
        <v>249</v>
      </c>
      <c r="G13" s="797"/>
      <c r="H13"/>
      <c r="I13"/>
      <c r="J13" s="764">
        <f>ABS($H$1/J12)</f>
        <v>88.270471009983908</v>
      </c>
      <c r="K13" s="764">
        <f>ABS($H$1/K12)</f>
        <v>149.62736247800231</v>
      </c>
      <c r="L13" s="764">
        <f>ABS($H$1/L12)</f>
        <v>102.86881170362658</v>
      </c>
      <c r="M13" s="766" t="s">
        <v>167</v>
      </c>
      <c r="N13"/>
      <c r="O13" s="794"/>
    </row>
    <row r="14" spans="2:15" ht="22.5" hidden="1" customHeight="1" thickBot="1" x14ac:dyDescent="0.25">
      <c r="B14" s="955" t="s">
        <v>232</v>
      </c>
      <c r="C14" s="975">
        <v>29.3</v>
      </c>
      <c r="D14" s="956" t="s">
        <v>222</v>
      </c>
      <c r="G14" s="797"/>
      <c r="H14"/>
      <c r="I14"/>
      <c r="J14" s="1045">
        <f>ABS($E$20/CB30)</f>
        <v>39.231320448881739</v>
      </c>
      <c r="K14" s="1045"/>
      <c r="L14" s="1045">
        <f>ABS($E$20/CZ30)</f>
        <v>146.30230997849117</v>
      </c>
      <c r="M14" s="1046" t="s">
        <v>308</v>
      </c>
      <c r="N14"/>
      <c r="O14" s="794"/>
    </row>
    <row r="15" spans="2:15" ht="22.5" hidden="1" customHeight="1" thickBot="1" x14ac:dyDescent="0.25">
      <c r="B15" s="382" t="s">
        <v>296</v>
      </c>
      <c r="C15" s="297">
        <v>492.4</v>
      </c>
      <c r="D15" s="300"/>
      <c r="G15" s="797"/>
      <c r="H15"/>
      <c r="I15"/>
      <c r="J15" s="43"/>
      <c r="K15" s="43"/>
      <c r="L15" s="43"/>
      <c r="M15" s="43"/>
      <c r="N15"/>
      <c r="O15" s="794"/>
    </row>
    <row r="16" spans="2:15" ht="21.75" hidden="1" customHeight="1" thickBot="1" x14ac:dyDescent="0.25">
      <c r="B16" s="382" t="s">
        <v>295</v>
      </c>
      <c r="C16" s="999">
        <f>(+B198*C14)+31+(B136*C14)+31</f>
        <v>120.6</v>
      </c>
      <c r="D16" s="300"/>
      <c r="G16" s="793" t="s">
        <v>176</v>
      </c>
      <c r="H16" s="824">
        <f>+D2+H7-BL139</f>
        <v>-12.310107528223853</v>
      </c>
      <c r="I16" s="783" t="s">
        <v>196</v>
      </c>
      <c r="J16" s="770" t="s">
        <v>177</v>
      </c>
      <c r="K16" s="931"/>
      <c r="L16" s="931"/>
      <c r="M16" s="931"/>
      <c r="N16"/>
      <c r="O16" s="794"/>
    </row>
    <row r="17" spans="2:144" ht="20" hidden="1" x14ac:dyDescent="0.2">
      <c r="B17" s="302"/>
      <c r="C17" s="302"/>
      <c r="D17" s="300"/>
      <c r="G17" s="797"/>
      <c r="H17" s="26"/>
      <c r="I17" s="798"/>
      <c r="J17" s="761" t="s">
        <v>162</v>
      </c>
      <c r="K17" s="761" t="s">
        <v>170</v>
      </c>
      <c r="L17" s="761"/>
      <c r="M17" s="924"/>
      <c r="N17"/>
      <c r="O17" s="794"/>
    </row>
    <row r="18" spans="2:144" ht="20" hidden="1" x14ac:dyDescent="0.2">
      <c r="B18" s="384" t="s">
        <v>68</v>
      </c>
      <c r="C18" s="187">
        <v>5800</v>
      </c>
      <c r="D18" s="187">
        <v>10000</v>
      </c>
      <c r="G18" s="797"/>
      <c r="H18"/>
      <c r="I18"/>
      <c r="J18" s="763">
        <f>+H16/H8*BQ25</f>
        <v>-14.806482822319481</v>
      </c>
      <c r="K18" s="763">
        <f>((H8-H16)/H8)*BQ27</f>
        <v>95.295484325378055</v>
      </c>
      <c r="L18" s="763"/>
      <c r="M18" s="761" t="s">
        <v>168</v>
      </c>
      <c r="N18"/>
      <c r="O18" s="794"/>
    </row>
    <row r="19" spans="2:144" ht="20" hidden="1" x14ac:dyDescent="0.2">
      <c r="B19" s="384" t="s">
        <v>69</v>
      </c>
      <c r="C19" s="187">
        <v>5800</v>
      </c>
      <c r="D19" s="187">
        <v>5800</v>
      </c>
      <c r="G19" s="797"/>
      <c r="H19"/>
      <c r="I19"/>
      <c r="J19" s="764">
        <f>ABS($H$1/J18)</f>
        <v>1215.6837120606772</v>
      </c>
      <c r="K19" s="764">
        <f>ABS($H$1/K18)</f>
        <v>188.88617994259394</v>
      </c>
      <c r="L19" s="764"/>
      <c r="M19" s="766" t="s">
        <v>167</v>
      </c>
      <c r="N19"/>
      <c r="O19" s="794"/>
    </row>
    <row r="20" spans="2:144" ht="20" hidden="1" x14ac:dyDescent="0.2">
      <c r="B20" s="384" t="s">
        <v>70</v>
      </c>
      <c r="C20" s="187">
        <v>8000</v>
      </c>
      <c r="D20" s="187">
        <v>8000</v>
      </c>
      <c r="E20" s="38">
        <v>8000</v>
      </c>
      <c r="G20" s="797"/>
      <c r="H20"/>
      <c r="I20"/>
      <c r="J20" s="1045">
        <f>ABS($E$20/BQ25)</f>
        <v>30.935808197989171</v>
      </c>
      <c r="K20" s="1045"/>
      <c r="L20" s="1045"/>
      <c r="M20" s="1046" t="s">
        <v>308</v>
      </c>
      <c r="N20"/>
      <c r="O20" s="794"/>
    </row>
    <row r="21" spans="2:144" ht="19" hidden="1" thickBot="1" x14ac:dyDescent="0.25">
      <c r="B21" s="187"/>
      <c r="C21" s="187" t="s">
        <v>18</v>
      </c>
      <c r="D21" s="187" t="s">
        <v>19</v>
      </c>
      <c r="G21" s="797"/>
      <c r="H21"/>
      <c r="I21"/>
      <c r="J21" s="43"/>
      <c r="K21" s="43"/>
      <c r="L21" s="43"/>
      <c r="M21" s="43"/>
      <c r="N21"/>
      <c r="O21" s="794"/>
    </row>
    <row r="22" spans="2:144" ht="21" hidden="1" thickBot="1" x14ac:dyDescent="0.25">
      <c r="B22" s="303" t="s">
        <v>58</v>
      </c>
      <c r="C22" s="187">
        <f>+((C8-C9)/C8)*C7</f>
        <v>114.57118779027161</v>
      </c>
      <c r="D22" s="187">
        <f>+(C9/C8)*C7</f>
        <v>144.02881220972841</v>
      </c>
      <c r="G22" s="793" t="s">
        <v>164</v>
      </c>
      <c r="H22" s="824">
        <f>(+COS(($B$133*-1)*3.14159265358979/180)*(H4))</f>
        <v>860</v>
      </c>
      <c r="I22" s="783" t="s">
        <v>196</v>
      </c>
      <c r="J22" s="770" t="s">
        <v>199</v>
      </c>
      <c r="K22" s="931"/>
      <c r="L22" s="931"/>
      <c r="M22" s="931"/>
      <c r="N22"/>
      <c r="O22" s="794"/>
    </row>
    <row r="23" spans="2:144" ht="20" hidden="1" x14ac:dyDescent="0.2">
      <c r="G23" s="793" t="s">
        <v>179</v>
      </c>
      <c r="H23" s="865">
        <f>+BL139-H22+H7</f>
        <v>-159.68989247177615</v>
      </c>
      <c r="I23" s="798"/>
      <c r="J23" s="761"/>
      <c r="K23" s="761" t="s">
        <v>160</v>
      </c>
      <c r="L23" s="761" t="s">
        <v>161</v>
      </c>
      <c r="M23" s="924"/>
      <c r="N23"/>
      <c r="O23" s="794"/>
    </row>
    <row r="24" spans="2:144" ht="20" hidden="1" x14ac:dyDescent="0.2">
      <c r="G24" s="797"/>
      <c r="H24"/>
      <c r="I24"/>
      <c r="J24" s="763"/>
      <c r="K24" s="763">
        <f>((+H8-H23)/H8*BQ25)</f>
        <v>450.67351717768054</v>
      </c>
      <c r="L24" s="763">
        <f>(H23/H8*BQ25)</f>
        <v>-192.07351717768054</v>
      </c>
      <c r="M24" s="761" t="s">
        <v>168</v>
      </c>
      <c r="N24"/>
      <c r="O24" s="794"/>
    </row>
    <row r="25" spans="2:144" ht="27.75" customHeight="1" thickBot="1" x14ac:dyDescent="0.25">
      <c r="G25" s="797"/>
      <c r="H25"/>
      <c r="I25"/>
      <c r="J25" s="764"/>
      <c r="K25" s="764">
        <f>ABS($H$1/K24)</f>
        <v>39.940221277531599</v>
      </c>
      <c r="L25" s="764">
        <f>ABS($H$1/L24)</f>
        <v>93.714116680379334</v>
      </c>
      <c r="M25" s="766" t="s">
        <v>167</v>
      </c>
      <c r="N25"/>
      <c r="O25" s="794"/>
      <c r="BE25" s="58"/>
      <c r="BF25" s="58"/>
      <c r="BG25" s="58"/>
      <c r="BH25" s="58"/>
      <c r="BO25" s="48"/>
      <c r="BP25" s="59" t="s">
        <v>23</v>
      </c>
      <c r="BQ25" s="1105">
        <f>+C7</f>
        <v>258.60000000000002</v>
      </c>
      <c r="BR25" s="1105"/>
      <c r="BS25" s="60" t="s">
        <v>15</v>
      </c>
      <c r="BT25" s="60"/>
      <c r="BU25" s="61" t="s">
        <v>262</v>
      </c>
      <c r="BV25" s="62"/>
      <c r="BW25" s="62"/>
      <c r="BX25" s="62"/>
      <c r="BY25" s="62"/>
      <c r="BZ25" s="62"/>
      <c r="CA25" s="62"/>
      <c r="CB25" s="62"/>
      <c r="CC25" s="62"/>
      <c r="CD25" s="62"/>
      <c r="CE25" s="62"/>
      <c r="CF25" s="62"/>
      <c r="CG25" s="62"/>
      <c r="CH25" s="62"/>
      <c r="CI25" s="62"/>
      <c r="CJ25" s="62"/>
      <c r="CK25" s="62"/>
      <c r="CL25" s="62"/>
      <c r="CM25" s="62"/>
      <c r="CN25" s="62"/>
      <c r="CO25" s="62"/>
      <c r="CP25" s="62"/>
      <c r="CQ25" s="62"/>
      <c r="CR25" s="62"/>
      <c r="CS25" s="62"/>
      <c r="CT25" s="62"/>
      <c r="CU25" s="62"/>
      <c r="CV25" s="62"/>
      <c r="CW25" s="62"/>
      <c r="CX25" s="62"/>
      <c r="CY25" s="62"/>
      <c r="CZ25" s="62"/>
      <c r="DA25" s="62"/>
      <c r="DB25" s="62"/>
      <c r="DC25" s="62"/>
      <c r="DD25" s="62"/>
    </row>
    <row r="26" spans="2:144" s="58" customFormat="1" ht="34.5" customHeight="1" thickBot="1" x14ac:dyDescent="0.3">
      <c r="B26" s="170"/>
      <c r="C26" s="170"/>
      <c r="G26" s="797"/>
      <c r="H26"/>
      <c r="I26"/>
      <c r="J26" s="1045"/>
      <c r="K26" s="1045"/>
      <c r="L26" s="1045">
        <f>ABS($E$20/BQ25)</f>
        <v>30.935808197989171</v>
      </c>
      <c r="M26" s="1046" t="s">
        <v>308</v>
      </c>
      <c r="N26"/>
      <c r="O26" s="794"/>
      <c r="P26" s="48"/>
      <c r="Q26" s="48"/>
      <c r="R26" s="48"/>
      <c r="S26" s="48"/>
      <c r="T26" s="48"/>
      <c r="U26" s="48"/>
      <c r="V26" s="48"/>
      <c r="W26" s="48"/>
      <c r="X26" s="48"/>
      <c r="Y26" s="48"/>
      <c r="Z26" s="48"/>
      <c r="AA26" s="48"/>
      <c r="AB26" s="48"/>
      <c r="AC26" s="48"/>
      <c r="AD26" s="48"/>
      <c r="AE26" s="48"/>
      <c r="AF26" s="48"/>
      <c r="AG26" s="48"/>
      <c r="AH26" s="48"/>
      <c r="AI26" s="48"/>
      <c r="AJ26" s="48"/>
      <c r="AK26" s="48"/>
      <c r="AL26" s="48"/>
      <c r="AM26" s="48"/>
      <c r="AN26" s="48"/>
      <c r="AO26" s="48"/>
      <c r="AP26" s="48"/>
      <c r="AQ26" s="48"/>
      <c r="AR26" s="48"/>
      <c r="AS26" s="48"/>
      <c r="AT26" s="48"/>
      <c r="AU26" s="48"/>
      <c r="AV26" s="48"/>
      <c r="AW26" s="48"/>
      <c r="AX26" s="48"/>
      <c r="AY26" s="48"/>
      <c r="AZ26" s="48"/>
      <c r="BA26" s="48"/>
      <c r="BB26" s="48"/>
      <c r="BD26"/>
      <c r="BE26" s="68"/>
      <c r="BF26" s="68"/>
      <c r="BG26" s="68"/>
      <c r="BH26" s="68"/>
      <c r="BI26"/>
      <c r="BJ26"/>
      <c r="BK26"/>
      <c r="BL26"/>
      <c r="BM26" s="65" t="b">
        <f>AND(BQ27&gt;0,CO27&gt;0)</f>
        <v>1</v>
      </c>
      <c r="BN26" s="752" t="str">
        <f>IF(BM26=TRUE,"","negative force at the motor")</f>
        <v/>
      </c>
      <c r="BO26" s="866" t="s">
        <v>112</v>
      </c>
      <c r="BP26" s="583" t="s">
        <v>25</v>
      </c>
      <c r="BQ26" s="619" t="s">
        <v>26</v>
      </c>
      <c r="BR26" s="620"/>
      <c r="BS26" s="620"/>
      <c r="BT26" s="620"/>
      <c r="BU26" s="620"/>
      <c r="BV26" s="620"/>
      <c r="BW26" s="620"/>
      <c r="BX26" s="620"/>
      <c r="BY26" s="620"/>
      <c r="BZ26" s="620"/>
      <c r="CA26" s="620"/>
      <c r="CB26" s="620"/>
      <c r="CC26" s="620"/>
      <c r="CD26" s="620"/>
      <c r="CE26" s="620"/>
      <c r="CF26" s="620"/>
      <c r="CG26" s="620"/>
      <c r="CH26" s="620"/>
      <c r="CI26" s="699"/>
      <c r="CJ26" s="620"/>
      <c r="CK26" s="700"/>
      <c r="CL26" s="700"/>
      <c r="CM26" s="700"/>
      <c r="CN26" s="700"/>
      <c r="CO26" s="620"/>
      <c r="CP26" s="625" t="s">
        <v>27</v>
      </c>
      <c r="CQ26" s="1092"/>
      <c r="CR26" s="1092"/>
      <c r="CS26" s="1092"/>
      <c r="CT26" s="1092"/>
      <c r="CU26" s="1092"/>
      <c r="CV26" s="1092"/>
      <c r="CW26" s="1092"/>
      <c r="CX26" s="1092"/>
      <c r="CY26" s="1092"/>
      <c r="CZ26" s="1092"/>
      <c r="DA26" s="1093"/>
      <c r="DB26" s="62"/>
      <c r="DC26" s="62"/>
      <c r="DD26" s="62"/>
      <c r="DE26"/>
      <c r="DF26"/>
      <c r="DG26"/>
      <c r="DH26"/>
      <c r="DI26"/>
      <c r="DJ26"/>
      <c r="DK26"/>
      <c r="DL26"/>
      <c r="DM26"/>
      <c r="DN26"/>
      <c r="DO26"/>
      <c r="DP26"/>
      <c r="DQ26"/>
      <c r="DR26"/>
      <c r="DS26"/>
      <c r="DT26"/>
      <c r="DU26"/>
      <c r="DV26"/>
      <c r="DW26"/>
      <c r="DX26"/>
      <c r="DY26"/>
      <c r="DZ26"/>
      <c r="EA26"/>
      <c r="EB26"/>
      <c r="EC26"/>
      <c r="ED26"/>
      <c r="EE26"/>
      <c r="EF26"/>
      <c r="EG26"/>
      <c r="EH26"/>
      <c r="EI26"/>
      <c r="EJ26"/>
      <c r="EK26"/>
      <c r="EL26"/>
      <c r="EM26"/>
      <c r="EN26"/>
    </row>
    <row r="27" spans="2:144" ht="44" thickBot="1" x14ac:dyDescent="0.3">
      <c r="G27" s="797"/>
      <c r="H27"/>
      <c r="I27"/>
      <c r="J27" s="43"/>
      <c r="K27" s="43"/>
      <c r="L27" s="43"/>
      <c r="M27" s="43"/>
      <c r="N27"/>
      <c r="O27" s="794"/>
      <c r="U27" s="97"/>
      <c r="BE27" s="68"/>
      <c r="BF27" s="68"/>
      <c r="BG27" s="68"/>
      <c r="BH27" s="68"/>
      <c r="BL27" s="767">
        <v>1</v>
      </c>
      <c r="BM27" s="1055" t="b">
        <f>AND(BO27&gt;=10,$BA$139&gt;=10,$BB$139&gt;=10,$BA$177&gt;=10,$BB$177&gt;=10,$BA$201&gt;=10,$BB$201&gt;=10)</f>
        <v>1</v>
      </c>
      <c r="BN27" s="67" t="str">
        <f>IF(BM27=TRUE,"O K","OVERLOAD")</f>
        <v>O K</v>
      </c>
      <c r="BO27" s="781">
        <f>+MIN(J7:L8)</f>
        <v>47.487525105437776</v>
      </c>
      <c r="BP27" s="584" t="s">
        <v>134</v>
      </c>
      <c r="BQ27" s="1100">
        <f>+((D4-D5)/D4)*C7</f>
        <v>90.13470343553611</v>
      </c>
      <c r="BR27" s="1101"/>
      <c r="BS27" s="626"/>
      <c r="BT27" s="626"/>
      <c r="BU27" s="626"/>
      <c r="BV27" s="627"/>
      <c r="BW27" s="627"/>
      <c r="BX27" s="627"/>
      <c r="BY27" s="701"/>
      <c r="BZ27" s="701"/>
      <c r="CA27" s="701"/>
      <c r="CB27" s="701"/>
      <c r="CC27" s="701"/>
      <c r="CD27" s="701"/>
      <c r="CE27" s="701"/>
      <c r="CF27" s="701"/>
      <c r="CG27" s="701"/>
      <c r="CH27" s="701"/>
      <c r="CI27" s="702"/>
      <c r="CJ27" s="626"/>
      <c r="CK27" s="626"/>
      <c r="CL27" s="626"/>
      <c r="CM27" s="627"/>
      <c r="CN27" s="627"/>
      <c r="CO27" s="1090">
        <f>+(D5/D4)*C7</f>
        <v>168.4652965644639</v>
      </c>
      <c r="CP27" s="1091"/>
      <c r="CQ27" s="1094"/>
      <c r="CR27" s="1094"/>
      <c r="CS27" s="1094"/>
      <c r="CT27" s="1094"/>
      <c r="CU27" s="1094"/>
      <c r="CV27" s="1094"/>
      <c r="CW27" s="1094"/>
      <c r="CX27" s="1094"/>
      <c r="CY27" s="1094"/>
      <c r="CZ27" s="1094"/>
      <c r="DA27" s="1095"/>
      <c r="DB27" s="62"/>
      <c r="DC27" s="62"/>
      <c r="DD27" s="62"/>
    </row>
    <row r="28" spans="2:144" ht="26" thickBot="1" x14ac:dyDescent="0.3">
      <c r="G28" s="797"/>
      <c r="H28"/>
      <c r="I28" s="783">
        <v>60</v>
      </c>
      <c r="J28" s="769" t="s">
        <v>186</v>
      </c>
      <c r="K28" s="932"/>
      <c r="L28" s="932"/>
      <c r="M28" s="932"/>
      <c r="N28"/>
      <c r="O28" s="794"/>
      <c r="BE28" s="68"/>
      <c r="BF28" s="68"/>
      <c r="BG28" s="68"/>
      <c r="BH28" s="68"/>
      <c r="BN28" s="69"/>
      <c r="BO28" s="68"/>
      <c r="BP28" s="70"/>
      <c r="BQ28" s="71"/>
      <c r="BR28" s="71"/>
      <c r="BS28" s="70"/>
      <c r="BT28" s="70"/>
      <c r="BU28" s="70"/>
      <c r="BV28" s="70"/>
      <c r="BW28" s="70"/>
      <c r="BX28" s="70"/>
      <c r="BY28" s="70"/>
      <c r="BZ28" s="70"/>
      <c r="CA28" s="70"/>
      <c r="CB28" s="70"/>
      <c r="CC28" s="70"/>
      <c r="CD28" s="70"/>
      <c r="CE28" s="70"/>
      <c r="CF28" s="70"/>
      <c r="CG28" s="70"/>
      <c r="CH28" s="70"/>
      <c r="CJ28" s="60"/>
      <c r="CK28" s="60"/>
      <c r="CL28" s="71"/>
      <c r="CM28" s="72"/>
      <c r="CN28" s="72"/>
      <c r="CO28" s="72"/>
      <c r="CP28" s="72"/>
      <c r="CQ28" s="72"/>
      <c r="CR28" s="72"/>
      <c r="CS28" s="72"/>
      <c r="CT28" s="72"/>
      <c r="CU28" s="72"/>
      <c r="CV28" s="72"/>
      <c r="CW28" s="72"/>
      <c r="CX28" s="72"/>
      <c r="CY28" s="72"/>
      <c r="CZ28" s="72"/>
      <c r="DA28" s="72"/>
      <c r="DB28" s="72"/>
      <c r="DC28" s="62"/>
      <c r="DD28" s="62"/>
    </row>
    <row r="29" spans="2:144" ht="34.5" customHeight="1" thickBot="1" x14ac:dyDescent="0.3">
      <c r="F29" s="385"/>
      <c r="G29" s="797"/>
      <c r="H29"/>
      <c r="I29"/>
      <c r="J29" s="761"/>
      <c r="K29" s="761" t="s">
        <v>160</v>
      </c>
      <c r="L29" s="761" t="s">
        <v>161</v>
      </c>
      <c r="M29" s="924"/>
      <c r="N29"/>
      <c r="O29" s="794"/>
      <c r="BE29" s="68"/>
      <c r="BF29" s="68"/>
      <c r="BG29" s="68"/>
      <c r="BH29" s="68"/>
      <c r="BM29" s="65" t="b">
        <f>AND(CB30&gt;0,CZ30&gt;0)</f>
        <v>1</v>
      </c>
      <c r="BN29" s="752" t="str">
        <f>IF(BM29=TRUE,"","negative force at the motor")</f>
        <v/>
      </c>
      <c r="BO29" s="866" t="s">
        <v>112</v>
      </c>
      <c r="BP29" s="585" t="s">
        <v>25</v>
      </c>
      <c r="BQ29" s="1119"/>
      <c r="BR29" s="1120"/>
      <c r="BS29" s="1120"/>
      <c r="BT29" s="1120"/>
      <c r="BU29" s="1120"/>
      <c r="BV29" s="1120"/>
      <c r="BW29" s="1120"/>
      <c r="BX29" s="1120"/>
      <c r="BY29" s="1120"/>
      <c r="BZ29" s="1120"/>
      <c r="CA29" s="1120"/>
      <c r="CB29" s="615" t="s">
        <v>26</v>
      </c>
      <c r="CC29" s="617"/>
      <c r="CD29" s="617"/>
      <c r="CE29" s="617"/>
      <c r="CF29" s="617"/>
      <c r="CG29" s="617"/>
      <c r="CH29" s="617"/>
      <c r="CI29" s="617"/>
      <c r="CJ29" s="617"/>
      <c r="CK29" s="617"/>
      <c r="CL29" s="617"/>
      <c r="CM29" s="617"/>
      <c r="CN29" s="703"/>
      <c r="CO29" s="608"/>
      <c r="CP29" s="608"/>
      <c r="CQ29" s="608"/>
      <c r="CR29" s="608"/>
      <c r="CS29" s="704"/>
      <c r="CT29" s="704"/>
      <c r="CU29" s="703"/>
      <c r="CV29" s="703"/>
      <c r="CW29" s="703"/>
      <c r="CX29" s="703"/>
      <c r="CY29" s="703"/>
      <c r="CZ29" s="608"/>
      <c r="DA29" s="609" t="s">
        <v>27</v>
      </c>
      <c r="DB29" s="73"/>
      <c r="DC29" s="62"/>
      <c r="DD29" s="62"/>
    </row>
    <row r="30" spans="2:144" ht="44" thickBot="1" x14ac:dyDescent="0.3">
      <c r="G30" s="799"/>
      <c r="H30" s="47"/>
      <c r="I30"/>
      <c r="J30" s="763"/>
      <c r="K30" s="763">
        <f>((+H8-H23)/H8*BQ25)</f>
        <v>450.67351717768054</v>
      </c>
      <c r="L30" s="763">
        <f>(H23/H8*BQ25)</f>
        <v>-192.07351717768054</v>
      </c>
      <c r="M30" s="761" t="s">
        <v>168</v>
      </c>
      <c r="N30"/>
      <c r="O30" s="794"/>
      <c r="BL30" s="767">
        <v>2</v>
      </c>
      <c r="BM30" s="1055" t="b">
        <f>AND(BO30&gt;=10,$BA$139&gt;=10,$BB$139&gt;=10,$BA$177&gt;=10,$BB$177&gt;=10,$BA$201&gt;=10,$BB$201&gt;=10)</f>
        <v>1</v>
      </c>
      <c r="BN30" s="67" t="str">
        <f>IF(BM30=TRUE,"O K","OVERLOAD")</f>
        <v>O K</v>
      </c>
      <c r="BO30" s="781">
        <f>+MIN(J13:L14)</f>
        <v>39.231320448881739</v>
      </c>
      <c r="BP30" s="586" t="s">
        <v>111</v>
      </c>
      <c r="BQ30" s="1121"/>
      <c r="BR30" s="1122"/>
      <c r="BS30" s="1122"/>
      <c r="BT30" s="1122"/>
      <c r="BU30" s="1122"/>
      <c r="BV30" s="1122"/>
      <c r="BW30" s="1122"/>
      <c r="BX30" s="1122"/>
      <c r="BY30" s="1122"/>
      <c r="BZ30" s="1122"/>
      <c r="CA30" s="1122"/>
      <c r="CB30" s="1123">
        <f>+((D4-D3)/D4)*C7</f>
        <v>203.91870343553614</v>
      </c>
      <c r="CC30" s="1124"/>
      <c r="CD30" s="705"/>
      <c r="CE30" s="705"/>
      <c r="CF30" s="705"/>
      <c r="CG30" s="705"/>
      <c r="CH30" s="705"/>
      <c r="CI30" s="705"/>
      <c r="CJ30" s="705"/>
      <c r="CK30" s="705"/>
      <c r="CL30" s="705"/>
      <c r="CM30" s="705"/>
      <c r="CN30" s="706"/>
      <c r="CO30" s="707"/>
      <c r="CP30" s="707"/>
      <c r="CQ30" s="707"/>
      <c r="CR30" s="707"/>
      <c r="CS30" s="708"/>
      <c r="CT30" s="708"/>
      <c r="CU30" s="698"/>
      <c r="CV30" s="698"/>
      <c r="CW30" s="698"/>
      <c r="CX30" s="698"/>
      <c r="CY30" s="698"/>
      <c r="CZ30" s="1088">
        <f>+(D3/D4)*C7</f>
        <v>54.681296564463892</v>
      </c>
      <c r="DA30" s="1089"/>
      <c r="DB30" s="75"/>
      <c r="DC30" s="62"/>
      <c r="DD30" s="62"/>
    </row>
    <row r="31" spans="2:144" ht="24" thickBot="1" x14ac:dyDescent="0.3">
      <c r="G31" s="799"/>
      <c r="H31" s="47"/>
      <c r="I31"/>
      <c r="J31" s="764"/>
      <c r="K31" s="764">
        <f>ABS($H$1/K30)</f>
        <v>39.940221277531599</v>
      </c>
      <c r="L31" s="764">
        <f>ABS($H$1/L30)</f>
        <v>93.714116680379334</v>
      </c>
      <c r="M31" s="766" t="s">
        <v>167</v>
      </c>
      <c r="N31"/>
      <c r="O31" s="794"/>
      <c r="BN31" s="69"/>
      <c r="BO31" s="11"/>
      <c r="BP31" s="76"/>
      <c r="BQ31" s="76"/>
      <c r="BR31" s="76"/>
      <c r="BS31" s="76"/>
      <c r="BT31" s="76"/>
      <c r="BU31" s="76"/>
      <c r="BV31" s="76"/>
      <c r="BW31" s="76"/>
      <c r="BX31" s="76"/>
      <c r="BY31" s="77"/>
      <c r="BZ31" s="77"/>
      <c r="CA31" s="72"/>
      <c r="CB31" s="72"/>
      <c r="CC31" s="72"/>
      <c r="CD31" s="72"/>
      <c r="CE31" s="72"/>
      <c r="CF31" s="72"/>
      <c r="CG31" s="72"/>
      <c r="CH31" s="72"/>
      <c r="CI31" s="72"/>
      <c r="CJ31" s="72"/>
      <c r="CK31" s="72"/>
      <c r="CL31" s="72"/>
      <c r="CM31" s="72"/>
      <c r="CN31" s="26"/>
      <c r="CO31" s="78"/>
      <c r="CP31" s="78"/>
      <c r="CQ31" s="78"/>
      <c r="CR31" s="78"/>
      <c r="CS31" s="75"/>
      <c r="CT31" s="75"/>
      <c r="CU31" s="75"/>
      <c r="CV31" s="75"/>
      <c r="CW31" s="75"/>
      <c r="CX31" s="75"/>
      <c r="CY31" s="75"/>
      <c r="CZ31" s="75"/>
      <c r="DA31" s="75"/>
      <c r="DB31" s="75"/>
      <c r="DC31" s="62"/>
      <c r="DD31" s="62"/>
    </row>
    <row r="32" spans="2:144" ht="34.5" customHeight="1" thickBot="1" x14ac:dyDescent="0.25">
      <c r="E32" s="300"/>
      <c r="F32" s="300"/>
      <c r="G32" s="799"/>
      <c r="H32" s="47"/>
      <c r="I32"/>
      <c r="J32" s="1045"/>
      <c r="K32" s="1045"/>
      <c r="L32" s="1045">
        <f>ABS($E$20/BQ25)*2</f>
        <v>61.871616395978343</v>
      </c>
      <c r="M32" s="1046" t="s">
        <v>308</v>
      </c>
      <c r="N32" s="1052" t="s">
        <v>309</v>
      </c>
      <c r="O32" s="794"/>
      <c r="BM32" s="65" t="b">
        <f>AND(CB33&gt;0,CQ33&gt;0)</f>
        <v>1</v>
      </c>
      <c r="BN32" s="752" t="str">
        <f>IF(BM32=TRUE,"","negative force at the motor")</f>
        <v/>
      </c>
      <c r="BO32" s="866" t="s">
        <v>112</v>
      </c>
      <c r="BP32" s="587" t="s">
        <v>25</v>
      </c>
      <c r="BQ32" s="1125"/>
      <c r="BR32" s="1126"/>
      <c r="BS32" s="1126"/>
      <c r="BT32" s="1126"/>
      <c r="BU32" s="1126"/>
      <c r="BV32" s="1126"/>
      <c r="BW32" s="1126"/>
      <c r="BX32" s="1126"/>
      <c r="BY32" s="1126"/>
      <c r="BZ32" s="1126"/>
      <c r="CA32" s="1126"/>
      <c r="CB32" s="709" t="s">
        <v>26</v>
      </c>
      <c r="CC32" s="710"/>
      <c r="CD32" s="710"/>
      <c r="CE32" s="710"/>
      <c r="CF32" s="710"/>
      <c r="CG32" s="710"/>
      <c r="CH32" s="710"/>
      <c r="CI32" s="711"/>
      <c r="CJ32" s="710"/>
      <c r="CK32" s="712"/>
      <c r="CL32" s="712"/>
      <c r="CM32" s="710"/>
      <c r="CN32" s="710"/>
      <c r="CO32" s="710"/>
      <c r="CP32" s="710"/>
      <c r="CQ32" s="710"/>
      <c r="CR32" s="713" t="s">
        <v>27</v>
      </c>
      <c r="CS32" s="1092"/>
      <c r="CT32" s="1092"/>
      <c r="CU32" s="1092"/>
      <c r="CV32" s="1092"/>
      <c r="CW32" s="1092"/>
      <c r="CX32" s="1092"/>
      <c r="CY32" s="1092"/>
      <c r="CZ32" s="1092"/>
      <c r="DA32" s="1093"/>
      <c r="DB32" s="72"/>
      <c r="DC32" s="62"/>
      <c r="DD32" s="62"/>
    </row>
    <row r="33" spans="2:144" ht="31" thickBot="1" x14ac:dyDescent="0.3">
      <c r="E33" s="300"/>
      <c r="F33" s="300"/>
      <c r="G33" s="799"/>
      <c r="H33" s="47"/>
      <c r="I33"/>
      <c r="J33" s="43"/>
      <c r="K33" s="43"/>
      <c r="L33" s="43"/>
      <c r="M33" s="43"/>
      <c r="N33"/>
      <c r="O33" s="794"/>
      <c r="BL33" s="767">
        <v>3</v>
      </c>
      <c r="BM33" s="1055" t="b">
        <f>AND(BO33&gt;=10,$BA$139&gt;=10,$BB$139&gt;=10,$BA$177&gt;=10,$BB$177&gt;=10,$BA$201&gt;=10,$BB$201&gt;=10)</f>
        <v>1</v>
      </c>
      <c r="BN33" s="67" t="str">
        <f>IF(BM33=TRUE,"O K","OVERLOAD")</f>
        <v>O K</v>
      </c>
      <c r="BO33" s="782">
        <f>+$E$20/(MAX(CB33,CQ33))</f>
        <v>46.19991970307985</v>
      </c>
      <c r="BP33" s="588" t="s">
        <v>108</v>
      </c>
      <c r="BQ33" s="1127"/>
      <c r="BR33" s="1128"/>
      <c r="BS33" s="1128"/>
      <c r="BT33" s="1128"/>
      <c r="BU33" s="1128"/>
      <c r="BV33" s="1128"/>
      <c r="BW33" s="1128"/>
      <c r="BX33" s="1128"/>
      <c r="BY33" s="1128"/>
      <c r="BZ33" s="1128"/>
      <c r="CA33" s="1128"/>
      <c r="CB33" s="1098">
        <f>+((D2-D3)/D2)*C7</f>
        <v>173.16047411802518</v>
      </c>
      <c r="CC33" s="1099"/>
      <c r="CD33" s="714"/>
      <c r="CE33" s="714"/>
      <c r="CF33" s="714"/>
      <c r="CG33" s="714"/>
      <c r="CH33" s="714"/>
      <c r="CI33" s="715"/>
      <c r="CJ33" s="714"/>
      <c r="CK33" s="716"/>
      <c r="CL33" s="716"/>
      <c r="CM33" s="717"/>
      <c r="CN33" s="717"/>
      <c r="CO33" s="717"/>
      <c r="CP33" s="717"/>
      <c r="CQ33" s="1086">
        <f>+(D3/D2)*C7</f>
        <v>85.439525881974845</v>
      </c>
      <c r="CR33" s="1087"/>
      <c r="CS33" s="1094"/>
      <c r="CT33" s="1094"/>
      <c r="CU33" s="1094"/>
      <c r="CV33" s="1094"/>
      <c r="CW33" s="1094"/>
      <c r="CX33" s="1094"/>
      <c r="CY33" s="1094"/>
      <c r="CZ33" s="1094"/>
      <c r="DA33" s="1095"/>
      <c r="DB33" s="72"/>
      <c r="DC33" s="62"/>
      <c r="DD33" s="62"/>
    </row>
    <row r="34" spans="2:144" ht="24" hidden="1" thickBot="1" x14ac:dyDescent="0.3">
      <c r="E34" s="300"/>
      <c r="F34" s="300"/>
      <c r="G34" s="799"/>
      <c r="H34" s="47"/>
      <c r="I34" s="783">
        <v>61</v>
      </c>
      <c r="J34" s="769" t="s">
        <v>200</v>
      </c>
      <c r="K34" s="932"/>
      <c r="L34" s="932"/>
      <c r="M34" s="932"/>
      <c r="N34"/>
      <c r="O34" s="794"/>
      <c r="BN34" s="69"/>
      <c r="BO34" s="11"/>
      <c r="BP34" s="76"/>
      <c r="BQ34" s="76"/>
      <c r="BR34" s="76"/>
      <c r="BS34" s="76"/>
      <c r="BT34" s="76"/>
      <c r="BU34" s="76"/>
      <c r="BV34" s="76"/>
      <c r="BW34" s="76"/>
      <c r="BX34" s="76"/>
      <c r="BY34" s="77"/>
      <c r="BZ34" s="77"/>
      <c r="CA34" s="72"/>
      <c r="CB34" s="72"/>
      <c r="CC34" s="72"/>
      <c r="CD34" s="72"/>
      <c r="CE34" s="72"/>
      <c r="CF34" s="72"/>
      <c r="CG34" s="72"/>
      <c r="CH34" s="72"/>
      <c r="CI34" s="72"/>
      <c r="CJ34" s="72"/>
      <c r="CK34" s="76"/>
      <c r="CL34" s="72"/>
      <c r="CM34" s="72"/>
      <c r="CN34" s="26"/>
      <c r="CO34" s="78"/>
      <c r="CP34" s="78"/>
      <c r="CQ34" s="78"/>
      <c r="CR34" s="78"/>
      <c r="CS34" s="75"/>
      <c r="CT34" s="75"/>
      <c r="CU34" s="75"/>
      <c r="CV34" s="75"/>
      <c r="CW34" s="75"/>
      <c r="CX34" s="75"/>
      <c r="CY34" s="75"/>
      <c r="CZ34" s="75"/>
      <c r="DA34" s="75"/>
      <c r="DB34" s="75"/>
      <c r="DC34" s="62"/>
      <c r="DD34" s="62"/>
    </row>
    <row r="35" spans="2:144" ht="20" hidden="1" x14ac:dyDescent="0.2">
      <c r="B35" s="302"/>
      <c r="C35" s="302"/>
      <c r="D35" s="300"/>
      <c r="E35" s="300"/>
      <c r="F35" s="300"/>
      <c r="G35" s="799"/>
      <c r="H35" s="47"/>
      <c r="I35"/>
      <c r="J35" s="761" t="s">
        <v>162</v>
      </c>
      <c r="K35" s="761" t="s">
        <v>170</v>
      </c>
      <c r="L35" s="761"/>
      <c r="M35" s="924"/>
      <c r="N35"/>
      <c r="O35" s="794"/>
      <c r="U35" s="97"/>
      <c r="AB35" s="97"/>
      <c r="AC35" s="97"/>
      <c r="AD35" s="97"/>
      <c r="AE35" s="97"/>
      <c r="BE35" s="119"/>
      <c r="BF35" s="119"/>
      <c r="BG35" s="119"/>
      <c r="BH35" s="119"/>
      <c r="BN35" s="69"/>
    </row>
    <row r="36" spans="2:144" ht="20" hidden="1" x14ac:dyDescent="0.2">
      <c r="B36" s="302"/>
      <c r="C36" s="302"/>
      <c r="D36" s="300"/>
      <c r="E36" s="300"/>
      <c r="F36" s="300"/>
      <c r="G36" s="799"/>
      <c r="H36" s="47"/>
      <c r="I36"/>
      <c r="J36" s="763">
        <f>+H16/H8*BQ25</f>
        <v>-14.806482822319481</v>
      </c>
      <c r="K36" s="763">
        <f>((H8-H16)/H8)*BQ25</f>
        <v>273.4064828223195</v>
      </c>
      <c r="L36" s="763"/>
      <c r="M36" s="761" t="s">
        <v>168</v>
      </c>
      <c r="N36"/>
      <c r="O36" s="794"/>
      <c r="U36" s="97"/>
      <c r="AB36" s="97"/>
      <c r="AC36" s="97"/>
      <c r="AD36" s="97"/>
      <c r="AE36" s="97"/>
      <c r="BE36" s="119"/>
      <c r="BF36" s="119"/>
      <c r="BG36" s="119"/>
      <c r="BH36" s="119"/>
      <c r="BN36" s="69"/>
    </row>
    <row r="37" spans="2:144" ht="23" hidden="1" x14ac:dyDescent="0.25">
      <c r="B37" s="302"/>
      <c r="C37" s="302"/>
      <c r="D37" s="300"/>
      <c r="E37" s="300"/>
      <c r="F37" s="300"/>
      <c r="G37" s="799"/>
      <c r="H37" s="47"/>
      <c r="I37"/>
      <c r="J37" s="764">
        <f>ABS($H$1/J36)</f>
        <v>1215.6837120606772</v>
      </c>
      <c r="K37" s="764">
        <f>ABS($H$1/K36)</f>
        <v>65.836039490321014</v>
      </c>
      <c r="L37" s="764"/>
      <c r="M37" s="766" t="s">
        <v>167</v>
      </c>
      <c r="N37"/>
      <c r="O37" s="794"/>
      <c r="U37" s="97"/>
      <c r="AB37" s="97"/>
      <c r="AC37" s="97"/>
      <c r="AD37" s="97"/>
      <c r="AE37" s="97"/>
      <c r="BE37" s="119"/>
      <c r="BF37" s="119"/>
      <c r="BG37" s="119"/>
      <c r="BH37" s="119"/>
      <c r="BN37" s="69"/>
      <c r="BO37" s="10"/>
      <c r="BP37" s="160"/>
      <c r="BQ37" s="161"/>
      <c r="BR37" s="161"/>
      <c r="BS37" s="161"/>
      <c r="BT37" s="161"/>
      <c r="BU37" s="161"/>
      <c r="BV37" s="161"/>
      <c r="BW37" s="161"/>
      <c r="BX37" s="161"/>
      <c r="BY37" s="162"/>
      <c r="BZ37" s="162"/>
      <c r="CA37" s="163"/>
      <c r="CB37" s="163"/>
      <c r="CC37" s="163"/>
      <c r="CD37" s="163"/>
      <c r="CE37" s="163"/>
      <c r="CF37" s="163"/>
      <c r="CG37" s="163"/>
      <c r="CH37" s="163"/>
      <c r="CI37" s="26"/>
      <c r="CJ37" s="72"/>
      <c r="CK37" s="164"/>
      <c r="CL37" s="164"/>
      <c r="CM37" s="72"/>
      <c r="CN37" s="72"/>
      <c r="CO37" s="72"/>
      <c r="CP37" s="72"/>
      <c r="CQ37" s="72"/>
      <c r="CR37" s="72"/>
      <c r="CS37" s="72"/>
      <c r="CT37" s="72"/>
      <c r="CU37" s="72"/>
      <c r="CV37" s="72"/>
      <c r="CW37" s="161"/>
      <c r="CX37" s="161"/>
      <c r="CY37" s="161"/>
      <c r="CZ37" s="161"/>
      <c r="DA37" s="161"/>
      <c r="DB37" s="161"/>
      <c r="DC37" s="161"/>
      <c r="DD37" s="161"/>
    </row>
    <row r="38" spans="2:144" ht="24" hidden="1" thickBot="1" x14ac:dyDescent="0.3">
      <c r="B38" s="302"/>
      <c r="C38" s="302"/>
      <c r="D38" s="300"/>
      <c r="E38" s="300"/>
      <c r="F38" s="300"/>
      <c r="G38" s="799"/>
      <c r="H38" s="47"/>
      <c r="I38"/>
      <c r="J38" s="1045">
        <f>ABS($E$20/BQ25)*2</f>
        <v>61.871616395978343</v>
      </c>
      <c r="K38" s="1045"/>
      <c r="L38" s="1045"/>
      <c r="M38" s="1046" t="s">
        <v>308</v>
      </c>
      <c r="N38" s="1052" t="s">
        <v>309</v>
      </c>
      <c r="O38" s="794"/>
      <c r="U38" s="97"/>
      <c r="AB38" s="97"/>
      <c r="AC38" s="97"/>
      <c r="AD38" s="97"/>
      <c r="AE38" s="97"/>
      <c r="BE38" s="119"/>
      <c r="BF38" s="119"/>
      <c r="BG38" s="119"/>
      <c r="BH38" s="119"/>
      <c r="BN38" s="69"/>
      <c r="BO38" s="10"/>
      <c r="BP38" s="160"/>
      <c r="BQ38" s="161"/>
      <c r="BR38" s="161"/>
      <c r="BS38" s="161"/>
      <c r="BT38" s="161"/>
      <c r="BU38" s="161"/>
      <c r="BV38" s="161"/>
      <c r="BW38" s="161"/>
      <c r="BX38" s="161"/>
      <c r="BY38" s="162"/>
      <c r="BZ38" s="162"/>
      <c r="CA38" s="163"/>
      <c r="CB38" s="163"/>
      <c r="CC38" s="163"/>
      <c r="CD38" s="163"/>
      <c r="CE38" s="163"/>
      <c r="CF38" s="163"/>
      <c r="CG38" s="163"/>
      <c r="CH38" s="163"/>
      <c r="CI38" s="26"/>
      <c r="CJ38" s="72"/>
      <c r="CK38" s="164"/>
      <c r="CL38" s="164"/>
      <c r="CM38" s="72"/>
      <c r="CN38" s="72"/>
      <c r="CO38" s="72"/>
      <c r="CP38" s="72"/>
      <c r="CQ38" s="72"/>
      <c r="CR38" s="72"/>
      <c r="CS38" s="72"/>
      <c r="CT38" s="72"/>
      <c r="CU38" s="72"/>
      <c r="CV38" s="72"/>
      <c r="CW38" s="161"/>
      <c r="CX38" s="161"/>
      <c r="CY38" s="161"/>
      <c r="CZ38" s="161"/>
      <c r="DA38" s="161"/>
      <c r="DB38" s="161"/>
      <c r="DC38" s="161"/>
      <c r="DD38" s="161"/>
    </row>
    <row r="39" spans="2:144" ht="24" hidden="1" thickBot="1" x14ac:dyDescent="0.3">
      <c r="B39" s="302"/>
      <c r="C39" s="302"/>
      <c r="D39" s="300"/>
      <c r="E39" s="300"/>
      <c r="F39" s="300"/>
      <c r="G39" s="797"/>
      <c r="H39"/>
      <c r="I39"/>
      <c r="J39" s="43"/>
      <c r="K39" s="43"/>
      <c r="L39" s="43"/>
      <c r="M39" s="43"/>
      <c r="N39"/>
      <c r="O39" s="794"/>
      <c r="U39" s="97"/>
      <c r="AB39" s="97"/>
      <c r="AC39" s="97"/>
      <c r="AD39" s="97"/>
      <c r="AE39" s="97"/>
      <c r="BE39" s="119"/>
      <c r="BF39" s="119"/>
      <c r="BG39" s="119"/>
      <c r="BH39" s="119"/>
      <c r="BN39" s="69"/>
      <c r="BO39" s="10"/>
      <c r="BP39" s="160"/>
      <c r="BQ39" s="161"/>
      <c r="BR39" s="161"/>
      <c r="BS39" s="161"/>
      <c r="BT39" s="161"/>
      <c r="BU39" s="161"/>
      <c r="BV39" s="161"/>
      <c r="BW39" s="161"/>
      <c r="BX39" s="161"/>
      <c r="BY39" s="162"/>
      <c r="BZ39" s="162"/>
      <c r="CA39" s="165">
        <v>16</v>
      </c>
      <c r="CB39" s="163"/>
      <c r="CC39" s="163"/>
      <c r="CD39" s="163"/>
      <c r="CE39" s="163"/>
      <c r="CF39" s="163"/>
      <c r="CG39" s="163"/>
      <c r="CH39" s="163"/>
      <c r="CI39" s="26"/>
      <c r="CJ39" s="72"/>
      <c r="CK39" s="164"/>
      <c r="CL39" s="164"/>
      <c r="CM39" s="72"/>
      <c r="CN39" s="72"/>
      <c r="CO39" s="72"/>
      <c r="CP39" s="100" t="b">
        <f>IF(CQ57=27,15)</f>
        <v>0</v>
      </c>
      <c r="CQ39" s="166"/>
      <c r="CR39" s="86" t="b">
        <f>IF(CQ57=27,17)</f>
        <v>0</v>
      </c>
      <c r="CS39" s="72"/>
      <c r="CT39" s="72"/>
      <c r="CU39" s="72"/>
      <c r="CV39" s="72"/>
      <c r="CW39" s="161"/>
      <c r="CX39" s="161"/>
      <c r="CY39" s="161"/>
      <c r="CZ39" s="161"/>
      <c r="DA39" s="161"/>
      <c r="DB39" s="161"/>
      <c r="DC39" s="161"/>
      <c r="DD39" s="161"/>
      <c r="DG39" s="1105"/>
      <c r="DH39" s="1105"/>
      <c r="DI39" s="60"/>
      <c r="DJ39" s="60"/>
      <c r="DK39" s="61"/>
      <c r="DL39" s="62"/>
      <c r="DM39" s="62"/>
      <c r="DN39" s="62"/>
      <c r="DO39" s="62"/>
      <c r="DP39" s="62"/>
      <c r="DQ39" s="62"/>
      <c r="DR39" s="62"/>
      <c r="DS39" s="62"/>
      <c r="DT39" s="62"/>
      <c r="DU39" s="62"/>
      <c r="DV39" s="62"/>
      <c r="DW39" s="62"/>
      <c r="DX39" s="62"/>
      <c r="DY39" s="62"/>
      <c r="DZ39" s="62"/>
      <c r="EA39" s="62"/>
      <c r="EB39" s="62"/>
      <c r="EC39" s="62"/>
      <c r="ED39" s="62"/>
      <c r="EE39" s="62"/>
      <c r="EF39" s="62"/>
      <c r="EG39" s="62"/>
      <c r="EH39" s="62"/>
      <c r="EI39" s="62"/>
      <c r="EJ39" s="62"/>
      <c r="EK39" s="62"/>
      <c r="EL39" s="62"/>
      <c r="EM39" s="58"/>
      <c r="EN39" s="58"/>
    </row>
    <row r="40" spans="2:144" ht="24" hidden="1" thickBot="1" x14ac:dyDescent="0.3">
      <c r="B40" s="48"/>
      <c r="C40" s="302"/>
      <c r="E40" s="48"/>
      <c r="G40" s="797"/>
      <c r="H40" s="841" t="s">
        <v>207</v>
      </c>
      <c r="I40" s="783">
        <v>62</v>
      </c>
      <c r="J40" s="769" t="s">
        <v>201</v>
      </c>
      <c r="K40" s="932"/>
      <c r="L40" s="932"/>
      <c r="M40" s="932"/>
      <c r="N40"/>
      <c r="O40" s="794"/>
      <c r="U40" s="97"/>
      <c r="AB40" s="97"/>
      <c r="AC40" s="97"/>
      <c r="AD40" s="97"/>
      <c r="AE40" s="97"/>
      <c r="BE40" s="119"/>
      <c r="BF40" s="119"/>
      <c r="BG40" s="119"/>
      <c r="BH40" s="119"/>
      <c r="BN40" s="69"/>
      <c r="BO40" s="10"/>
      <c r="BP40" s="160"/>
      <c r="BQ40" s="161"/>
      <c r="BR40" s="161"/>
      <c r="BS40" s="161"/>
      <c r="BT40" s="161"/>
      <c r="BU40" s="161"/>
      <c r="BV40" s="161"/>
      <c r="BW40" s="161"/>
      <c r="BX40" s="161"/>
      <c r="BY40" s="162"/>
      <c r="BZ40" s="162"/>
      <c r="CA40" s="165">
        <v>15</v>
      </c>
      <c r="CB40" s="163"/>
      <c r="CC40" s="163"/>
      <c r="CD40" s="163"/>
      <c r="CE40" s="163"/>
      <c r="CF40" s="163"/>
      <c r="CG40" s="163"/>
      <c r="CH40" s="163"/>
      <c r="CI40" s="26"/>
      <c r="CJ40" s="72"/>
      <c r="CK40" s="164"/>
      <c r="CL40" s="164"/>
      <c r="CM40" s="72"/>
      <c r="CN40" s="100" t="b">
        <f>IF(CP57=26,13)</f>
        <v>0</v>
      </c>
      <c r="CO40" s="166"/>
      <c r="CP40" s="166"/>
      <c r="CQ40" s="166"/>
      <c r="CR40" s="86" t="b">
        <f>IF(CP57=26,17)</f>
        <v>0</v>
      </c>
      <c r="CS40" s="72"/>
      <c r="CT40" s="72"/>
      <c r="CU40" s="72"/>
      <c r="CV40" s="72"/>
      <c r="CW40" s="161"/>
      <c r="CX40" s="161"/>
      <c r="CY40" s="161"/>
      <c r="CZ40" s="161"/>
      <c r="DA40" s="161"/>
      <c r="DB40" s="161"/>
      <c r="DC40" s="161"/>
      <c r="DD40" s="161"/>
      <c r="EK40" s="62"/>
      <c r="EL40" s="62"/>
    </row>
    <row r="41" spans="2:144" ht="31" hidden="1" thickBot="1" x14ac:dyDescent="0.35">
      <c r="B41" s="51"/>
      <c r="C41" s="302"/>
      <c r="E41" s="52"/>
      <c r="G41" s="797"/>
      <c r="H41" s="800" t="s">
        <v>195</v>
      </c>
      <c r="I41"/>
      <c r="J41" s="761" t="s">
        <v>162</v>
      </c>
      <c r="K41" s="761" t="s">
        <v>170</v>
      </c>
      <c r="L41" s="771" t="s">
        <v>187</v>
      </c>
      <c r="M41" s="924"/>
      <c r="N41"/>
      <c r="O41" s="794"/>
      <c r="U41" s="97"/>
      <c r="AB41" s="97"/>
      <c r="AC41" s="97"/>
      <c r="AD41" s="97"/>
      <c r="AE41" s="97"/>
      <c r="BE41" s="119"/>
      <c r="BF41" s="119"/>
      <c r="BG41" s="119"/>
      <c r="BH41" s="119"/>
      <c r="BN41" s="69"/>
      <c r="BO41" s="10"/>
      <c r="BP41" s="160"/>
      <c r="BQ41" s="161"/>
      <c r="BR41" s="161"/>
      <c r="BS41" s="161"/>
      <c r="BT41" s="161"/>
      <c r="BU41" s="161"/>
      <c r="BV41" s="161"/>
      <c r="BW41" s="161"/>
      <c r="BX41" s="161"/>
      <c r="BY41" s="162"/>
      <c r="BZ41" s="162"/>
      <c r="CA41" s="165">
        <v>14</v>
      </c>
      <c r="CB41" s="163"/>
      <c r="CC41" s="163"/>
      <c r="CD41" s="163"/>
      <c r="CE41" s="163"/>
      <c r="CF41" s="163"/>
      <c r="CG41" s="163"/>
      <c r="CH41" s="163"/>
      <c r="CI41" s="26"/>
      <c r="CJ41" s="72"/>
      <c r="CK41" s="164"/>
      <c r="CL41" s="100" t="b">
        <f>IF(CO57=25,11)</f>
        <v>0</v>
      </c>
      <c r="CM41" s="166"/>
      <c r="CN41" s="167"/>
      <c r="CO41" s="167"/>
      <c r="CP41" s="167"/>
      <c r="CQ41" s="167"/>
      <c r="CR41" s="107" t="b">
        <f>IF(CO57=25,17)</f>
        <v>0</v>
      </c>
      <c r="CS41" s="72"/>
      <c r="CT41" s="72"/>
      <c r="CU41" s="72"/>
      <c r="CV41" s="72"/>
      <c r="CW41" s="161"/>
      <c r="CX41" s="161"/>
      <c r="CY41" s="161"/>
      <c r="CZ41" s="161"/>
      <c r="DA41" s="161"/>
      <c r="DB41" s="161"/>
      <c r="DC41" s="161"/>
      <c r="DD41" s="161"/>
      <c r="EK41" s="62"/>
      <c r="EL41" s="62"/>
    </row>
    <row r="42" spans="2:144" ht="24" hidden="1" thickBot="1" x14ac:dyDescent="0.3">
      <c r="B42" s="386"/>
      <c r="C42" s="386"/>
      <c r="D42" s="386"/>
      <c r="E42" s="386"/>
      <c r="G42" s="801" t="s">
        <v>190</v>
      </c>
      <c r="H42" s="825">
        <f>SUM(BQ99:CA99)</f>
        <v>8</v>
      </c>
      <c r="I42"/>
      <c r="J42" s="763">
        <f>+H43/H8*BQ25/2</f>
        <v>232.74000000000004</v>
      </c>
      <c r="K42" s="763">
        <f>((H8-H43)/H8)*BQ25/2</f>
        <v>-103.44000000000001</v>
      </c>
      <c r="L42" s="763">
        <f>+BQ25/2</f>
        <v>129.30000000000001</v>
      </c>
      <c r="M42" s="761" t="s">
        <v>168</v>
      </c>
      <c r="N42"/>
      <c r="O42" s="794"/>
      <c r="U42" s="97"/>
      <c r="AB42" s="97"/>
      <c r="AC42" s="97"/>
      <c r="AD42" s="97"/>
      <c r="AE42" s="97"/>
      <c r="BE42" s="119"/>
      <c r="BF42" s="119"/>
      <c r="BG42" s="119"/>
      <c r="BH42" s="119"/>
      <c r="BN42" s="69"/>
      <c r="BO42" s="863"/>
      <c r="BP42" s="160"/>
      <c r="BQ42" s="161"/>
      <c r="BR42" s="161"/>
      <c r="BS42" s="161"/>
      <c r="BT42" s="161"/>
      <c r="BU42" s="161"/>
      <c r="BV42" s="161"/>
      <c r="BW42" s="161"/>
      <c r="BX42" s="161"/>
      <c r="CA42" s="165">
        <v>13</v>
      </c>
      <c r="CB42" s="161"/>
      <c r="CC42" s="160"/>
      <c r="CD42" s="160"/>
      <c r="CE42" s="160"/>
      <c r="CF42" s="160"/>
      <c r="CG42" s="160"/>
      <c r="CH42" s="160"/>
      <c r="CI42" s="160"/>
      <c r="CJ42" s="100" t="b">
        <f>IF(CN57=24,9)</f>
        <v>0</v>
      </c>
      <c r="CK42" s="168"/>
      <c r="CL42" s="169"/>
      <c r="CM42" s="105"/>
      <c r="CN42" s="169"/>
      <c r="CO42" s="105"/>
      <c r="CP42" s="105"/>
      <c r="CQ42" s="104"/>
      <c r="CR42" s="107" t="b">
        <f>IF(CN57=24,17)</f>
        <v>0</v>
      </c>
      <c r="CS42" s="62"/>
      <c r="CT42" s="62"/>
      <c r="CU42" s="62"/>
      <c r="CV42" s="62"/>
      <c r="CW42" s="62"/>
      <c r="CX42" s="62"/>
      <c r="CY42" s="62"/>
      <c r="CZ42" s="62"/>
      <c r="DA42" s="62"/>
      <c r="DB42" s="62"/>
      <c r="DC42" s="62"/>
      <c r="DD42" s="62"/>
      <c r="EK42" s="62"/>
      <c r="EL42" s="62"/>
    </row>
    <row r="43" spans="2:144" ht="21" hidden="1" thickBot="1" x14ac:dyDescent="0.25">
      <c r="B43" s="387"/>
      <c r="C43" s="388"/>
      <c r="D43" s="387"/>
      <c r="E43" s="387"/>
      <c r="G43" s="793" t="s">
        <v>188</v>
      </c>
      <c r="H43" s="824">
        <f>$H$5-((H42-1)*$E$2)</f>
        <v>387</v>
      </c>
      <c r="I43"/>
      <c r="J43" s="764">
        <f>ABS($H$1/J42)</f>
        <v>77.339520494972916</v>
      </c>
      <c r="K43" s="764">
        <f>ABS($H$1/K42)</f>
        <v>174.01392111368907</v>
      </c>
      <c r="L43" s="764">
        <f>ABS($H$1/L42)</f>
        <v>139.21113689095125</v>
      </c>
      <c r="M43" s="766" t="s">
        <v>167</v>
      </c>
      <c r="N43"/>
      <c r="O43" s="794"/>
      <c r="U43" s="97"/>
      <c r="AB43" s="97"/>
      <c r="AC43" s="97"/>
      <c r="AD43" s="97"/>
      <c r="AE43" s="97"/>
      <c r="BE43" s="119"/>
      <c r="BF43" s="119"/>
      <c r="BG43" s="119"/>
      <c r="BH43" s="119"/>
      <c r="BN43" s="69"/>
      <c r="BO43" s="863"/>
      <c r="BP43" s="160"/>
      <c r="BQ43" s="160"/>
      <c r="BR43" s="161"/>
      <c r="BS43" s="160"/>
      <c r="BT43" s="160"/>
      <c r="BU43" s="160"/>
      <c r="CA43" s="165">
        <v>12</v>
      </c>
      <c r="CB43" s="161"/>
      <c r="CC43" s="160"/>
      <c r="CD43" s="160"/>
      <c r="CE43" s="160"/>
      <c r="CF43" s="160"/>
      <c r="CG43" s="160"/>
      <c r="CH43" s="100" t="b">
        <f>IF(CM57=23,7)</f>
        <v>0</v>
      </c>
      <c r="CI43" s="168"/>
      <c r="CJ43" s="168"/>
      <c r="CK43" s="101"/>
      <c r="CL43" s="168"/>
      <c r="CM43" s="168"/>
      <c r="CN43" s="168"/>
      <c r="CO43" s="101"/>
      <c r="CP43" s="101"/>
      <c r="CQ43" s="94"/>
      <c r="CR43" s="86" t="b">
        <f>IF(CM57=23,17)</f>
        <v>0</v>
      </c>
      <c r="CS43" s="62"/>
      <c r="CT43" s="62"/>
      <c r="CU43" s="62"/>
      <c r="CV43" s="62"/>
      <c r="CW43" s="62"/>
      <c r="CX43" s="62"/>
      <c r="CY43" s="62"/>
      <c r="CZ43" s="62"/>
      <c r="DA43" s="62"/>
      <c r="DB43" s="62"/>
      <c r="DC43" s="62"/>
      <c r="DD43" s="62"/>
      <c r="EK43" s="62"/>
      <c r="EL43" s="62"/>
    </row>
    <row r="44" spans="2:144" ht="21" hidden="1" thickBot="1" x14ac:dyDescent="0.25">
      <c r="B44" s="302"/>
      <c r="C44" s="302"/>
      <c r="G44" s="799"/>
      <c r="H44" s="47"/>
      <c r="I44"/>
      <c r="J44" s="1045"/>
      <c r="K44" s="1045"/>
      <c r="L44" s="1045">
        <f>ABS($E$20/BQ25)*2</f>
        <v>61.871616395978343</v>
      </c>
      <c r="M44" s="1046" t="s">
        <v>308</v>
      </c>
      <c r="N44" s="1052" t="s">
        <v>309</v>
      </c>
      <c r="O44" s="794"/>
      <c r="U44" s="97"/>
      <c r="AB44" s="97"/>
      <c r="AC44" s="97"/>
      <c r="AD44" s="97"/>
      <c r="AE44" s="97"/>
      <c r="BE44" s="119"/>
      <c r="BF44" s="119"/>
      <c r="BG44" s="119"/>
      <c r="BH44" s="119"/>
      <c r="BN44" s="69"/>
      <c r="BO44" s="863"/>
      <c r="BP44" s="160"/>
      <c r="BQ44" s="160"/>
      <c r="BR44" s="161"/>
      <c r="BS44" s="160"/>
      <c r="BT44" s="160"/>
      <c r="BU44" s="160"/>
      <c r="CA44" s="165">
        <v>11</v>
      </c>
      <c r="CB44" s="161"/>
      <c r="CC44" s="160"/>
      <c r="CD44" s="160"/>
      <c r="CE44" s="160"/>
      <c r="CF44" s="100" t="b">
        <f>IF(CL57=22,5)</f>
        <v>0</v>
      </c>
      <c r="CG44" s="168"/>
      <c r="CH44" s="168"/>
      <c r="CI44" s="101"/>
      <c r="CJ44" s="168"/>
      <c r="CK44" s="101"/>
      <c r="CL44" s="168"/>
      <c r="CM44" s="101"/>
      <c r="CN44" s="168"/>
      <c r="CO44" s="101"/>
      <c r="CP44" s="101"/>
      <c r="CQ44" s="94"/>
      <c r="CR44" s="86" t="b">
        <f>IF(CL57=22,17)</f>
        <v>0</v>
      </c>
      <c r="CS44" s="62"/>
      <c r="CT44" s="62"/>
      <c r="CU44" s="62"/>
      <c r="CV44" s="62"/>
      <c r="CW44" s="62"/>
      <c r="CX44" s="62"/>
      <c r="CY44" s="62"/>
      <c r="CZ44" s="62"/>
      <c r="DA44" s="62"/>
      <c r="DB44" s="62"/>
      <c r="DC44" s="62"/>
      <c r="DD44" s="62"/>
      <c r="DG44" s="90"/>
      <c r="DH44" s="90"/>
      <c r="DI44" s="90"/>
      <c r="DJ44" s="90"/>
      <c r="DK44" s="90"/>
      <c r="DL44" s="91"/>
      <c r="DM44" s="90"/>
      <c r="DN44" s="90"/>
      <c r="DO44" s="90"/>
      <c r="DP44" s="90"/>
      <c r="DQ44" s="90"/>
      <c r="DR44" s="90"/>
      <c r="DS44" s="90"/>
      <c r="DT44" s="90"/>
      <c r="DU44" s="90"/>
      <c r="DV44" s="90"/>
      <c r="DW44" s="90"/>
      <c r="DX44" s="90"/>
      <c r="DY44" s="90"/>
      <c r="DZ44" s="90"/>
      <c r="EA44" s="90"/>
      <c r="EB44" s="90"/>
      <c r="EC44" s="90"/>
      <c r="ED44" s="91"/>
      <c r="EE44" s="62"/>
      <c r="EF44" s="62"/>
      <c r="EG44" s="62"/>
      <c r="EH44" s="62"/>
      <c r="EI44" s="62"/>
      <c r="EJ44" s="62"/>
      <c r="EK44" s="62"/>
      <c r="EL44" s="62"/>
    </row>
    <row r="45" spans="2:144" ht="21" hidden="1" thickBot="1" x14ac:dyDescent="0.25">
      <c r="B45" s="389"/>
      <c r="C45" s="302"/>
      <c r="D45" s="390"/>
      <c r="E45" s="391"/>
      <c r="F45" s="300"/>
      <c r="G45" s="797"/>
      <c r="H45" s="842" t="s">
        <v>208</v>
      </c>
      <c r="I45"/>
      <c r="J45" s="43"/>
      <c r="K45" s="43"/>
      <c r="L45" s="43"/>
      <c r="M45" s="43"/>
      <c r="N45"/>
      <c r="O45" s="794"/>
      <c r="U45" s="97"/>
      <c r="AB45" s="97"/>
      <c r="AC45" s="97"/>
      <c r="AD45" s="97"/>
      <c r="AE45" s="97"/>
      <c r="BE45" s="119"/>
      <c r="BF45" s="119"/>
      <c r="BG45" s="119"/>
      <c r="BH45" s="119"/>
      <c r="BN45" s="69"/>
      <c r="BO45" s="863"/>
      <c r="BP45" s="160"/>
      <c r="BQ45" s="160"/>
      <c r="BR45" s="161"/>
      <c r="BS45" s="160"/>
      <c r="BT45" s="160"/>
      <c r="BU45" s="160"/>
      <c r="CA45" s="165">
        <v>10</v>
      </c>
      <c r="CB45" s="161"/>
      <c r="CC45" s="160"/>
      <c r="CD45" s="100" t="b">
        <f>IF(CK57=21,3)</f>
        <v>0</v>
      </c>
      <c r="CE45" s="168"/>
      <c r="CF45" s="168"/>
      <c r="CG45" s="101"/>
      <c r="CH45" s="101"/>
      <c r="CI45" s="101"/>
      <c r="CJ45" s="168"/>
      <c r="CK45" s="168"/>
      <c r="CL45" s="168"/>
      <c r="CM45" s="101"/>
      <c r="CN45" s="168"/>
      <c r="CO45" s="101"/>
      <c r="CP45" s="101"/>
      <c r="CQ45" s="94"/>
      <c r="CR45" s="86" t="b">
        <f>IF(CK57=21,17)</f>
        <v>0</v>
      </c>
      <c r="CS45" s="62"/>
      <c r="CT45" s="62"/>
      <c r="CU45" s="62"/>
      <c r="CV45" s="62"/>
      <c r="CW45" s="62"/>
      <c r="CX45" s="62"/>
      <c r="CY45" s="62"/>
      <c r="CZ45" s="62"/>
      <c r="DA45" s="62"/>
      <c r="DB45" s="62"/>
      <c r="DC45" s="62"/>
      <c r="DD45" s="62"/>
      <c r="DG45" s="90"/>
      <c r="DH45" s="90"/>
      <c r="DI45" s="90"/>
      <c r="DJ45" s="90"/>
      <c r="DK45" s="90"/>
      <c r="DL45" s="91"/>
      <c r="DM45" s="90"/>
      <c r="DN45" s="90"/>
      <c r="DO45" s="90"/>
      <c r="DP45" s="90"/>
      <c r="DQ45" s="90"/>
      <c r="DR45" s="90"/>
      <c r="DS45" s="90"/>
      <c r="DT45" s="90"/>
      <c r="DU45" s="90"/>
      <c r="DV45" s="90"/>
      <c r="DW45" s="90"/>
      <c r="DX45" s="90"/>
      <c r="DY45" s="90"/>
      <c r="DZ45" s="90"/>
      <c r="EA45" s="90"/>
      <c r="EB45" s="90"/>
      <c r="EC45" s="90"/>
      <c r="ED45" s="91"/>
      <c r="EE45" s="62"/>
      <c r="EF45" s="62"/>
      <c r="EG45" s="62"/>
      <c r="EH45" s="62"/>
      <c r="EI45" s="62"/>
      <c r="EJ45" s="62"/>
      <c r="EK45" s="62"/>
      <c r="EL45" s="62"/>
    </row>
    <row r="46" spans="2:144" ht="21" hidden="1" thickBot="1" x14ac:dyDescent="0.25">
      <c r="B46" s="387"/>
      <c r="C46" s="302"/>
      <c r="D46" s="387"/>
      <c r="E46" s="13"/>
      <c r="F46" s="300"/>
      <c r="G46" s="803"/>
      <c r="H46" s="804" t="s">
        <v>195</v>
      </c>
      <c r="I46" s="783">
        <v>63</v>
      </c>
      <c r="J46" s="769" t="s">
        <v>202</v>
      </c>
      <c r="K46" s="932"/>
      <c r="L46" s="932"/>
      <c r="M46" s="932"/>
      <c r="N46"/>
      <c r="O46" s="794"/>
      <c r="U46" s="97"/>
      <c r="AB46" s="97"/>
      <c r="AC46" s="97"/>
      <c r="AD46" s="97"/>
      <c r="AE46" s="97"/>
      <c r="BE46" s="119"/>
      <c r="BF46" s="119"/>
      <c r="BG46" s="119"/>
      <c r="BH46" s="119"/>
      <c r="BN46" s="69"/>
      <c r="BO46" s="863"/>
      <c r="BP46" s="160"/>
      <c r="BQ46" s="160"/>
      <c r="BR46" s="161"/>
      <c r="BS46" s="160"/>
      <c r="BT46" s="160"/>
      <c r="BU46" s="160"/>
      <c r="CA46" s="165">
        <v>9</v>
      </c>
      <c r="CB46" s="100" t="b">
        <f>IF(CJ57=20,1)</f>
        <v>0</v>
      </c>
      <c r="CC46" s="168"/>
      <c r="CD46" s="168"/>
      <c r="CE46" s="101"/>
      <c r="CF46" s="168"/>
      <c r="CG46" s="168"/>
      <c r="CH46" s="168"/>
      <c r="CI46" s="168"/>
      <c r="CJ46" s="168"/>
      <c r="CK46" s="168"/>
      <c r="CL46" s="168"/>
      <c r="CM46" s="168"/>
      <c r="CN46" s="168"/>
      <c r="CO46" s="101"/>
      <c r="CP46" s="101"/>
      <c r="CQ46" s="94"/>
      <c r="CR46" s="86" t="b">
        <f>IF(CJ57=20,17)</f>
        <v>0</v>
      </c>
      <c r="CS46" s="62"/>
      <c r="CT46" s="62"/>
      <c r="CU46" s="62"/>
      <c r="CV46" s="62"/>
      <c r="CW46" s="62"/>
      <c r="CX46" s="62"/>
      <c r="CY46" s="62"/>
      <c r="CZ46" s="62"/>
      <c r="DA46" s="62"/>
      <c r="DB46" s="62"/>
      <c r="DC46" s="62"/>
      <c r="DD46" s="62"/>
      <c r="EK46" s="62"/>
      <c r="EL46" s="62"/>
    </row>
    <row r="47" spans="2:144" ht="24" hidden="1" thickBot="1" x14ac:dyDescent="0.3">
      <c r="B47" s="302"/>
      <c r="C47" s="302"/>
      <c r="F47" s="300"/>
      <c r="G47" s="801" t="s">
        <v>190</v>
      </c>
      <c r="H47" s="826">
        <f>SUM(CQ99:DA99)</f>
        <v>0</v>
      </c>
      <c r="I47"/>
      <c r="J47" s="771" t="s">
        <v>189</v>
      </c>
      <c r="K47" s="761" t="s">
        <v>160</v>
      </c>
      <c r="L47" s="761" t="s">
        <v>161</v>
      </c>
      <c r="M47" s="924"/>
      <c r="N47"/>
      <c r="O47" s="794"/>
      <c r="U47" s="97"/>
      <c r="AB47" s="97"/>
      <c r="AC47" s="97"/>
      <c r="AD47" s="97"/>
      <c r="AE47" s="97"/>
      <c r="BE47" s="119"/>
      <c r="BF47" s="119"/>
      <c r="BG47" s="119"/>
      <c r="BH47" s="119"/>
      <c r="BN47" s="69"/>
      <c r="BO47" s="863"/>
      <c r="BP47" s="160"/>
      <c r="BQ47" s="160"/>
      <c r="BR47" s="161"/>
      <c r="BS47" s="160"/>
      <c r="BT47" s="160"/>
      <c r="BU47" s="160"/>
      <c r="CA47" s="165">
        <v>8</v>
      </c>
      <c r="CB47" s="103" t="b">
        <f>IF(CI57=19,1)</f>
        <v>0</v>
      </c>
      <c r="CC47" s="105"/>
      <c r="CD47" s="169"/>
      <c r="CE47" s="169"/>
      <c r="CF47" s="169"/>
      <c r="CG47" s="169"/>
      <c r="CH47" s="169"/>
      <c r="CI47" s="169"/>
      <c r="CJ47" s="169"/>
      <c r="CK47" s="169"/>
      <c r="CL47" s="169"/>
      <c r="CM47" s="169"/>
      <c r="CN47" s="169"/>
      <c r="CO47" s="105"/>
      <c r="CP47" s="107" t="b">
        <f>IF(CI57=19,15)</f>
        <v>0</v>
      </c>
      <c r="CQ47" s="62"/>
      <c r="CR47" s="62"/>
      <c r="CS47" s="62"/>
      <c r="CT47" s="62"/>
      <c r="CU47" s="62"/>
      <c r="CV47" s="62"/>
      <c r="CW47" s="62"/>
      <c r="CX47" s="62"/>
      <c r="CY47" s="62"/>
      <c r="CZ47" s="62"/>
      <c r="DA47" s="62"/>
      <c r="DB47" s="62"/>
      <c r="DC47" s="62"/>
      <c r="DD47" s="62"/>
      <c r="EK47" s="62"/>
      <c r="EL47" s="62"/>
    </row>
    <row r="48" spans="2:144" ht="21" hidden="1" thickBot="1" x14ac:dyDescent="0.25">
      <c r="B48" s="302"/>
      <c r="C48" s="302"/>
      <c r="G48" s="793" t="s">
        <v>188</v>
      </c>
      <c r="H48" s="824">
        <f>($E$2*(H47-1))-$H$4</f>
        <v>-903</v>
      </c>
      <c r="I48"/>
      <c r="J48" s="763">
        <f>+BQ25/2</f>
        <v>129.30000000000001</v>
      </c>
      <c r="K48" s="763">
        <f>((H8-H48)/H8)*BQ25/2</f>
        <v>672.36000000000013</v>
      </c>
      <c r="L48" s="763">
        <f>+H48/H8*BQ25/2</f>
        <v>-543.06000000000006</v>
      </c>
      <c r="M48" s="761" t="s">
        <v>168</v>
      </c>
      <c r="N48"/>
      <c r="O48" s="794"/>
      <c r="U48" s="97"/>
      <c r="AB48" s="97"/>
      <c r="AC48" s="97"/>
      <c r="AD48" s="97"/>
      <c r="AE48" s="97"/>
      <c r="BE48" s="119"/>
      <c r="BF48" s="119"/>
      <c r="BG48" s="119"/>
      <c r="BH48" s="119"/>
      <c r="BN48" s="69"/>
      <c r="BO48" s="863"/>
      <c r="BP48" s="160"/>
      <c r="BQ48" s="160"/>
      <c r="BR48" s="161"/>
      <c r="BS48" s="160"/>
      <c r="BT48" s="160"/>
      <c r="BU48" s="160"/>
      <c r="CA48" s="165">
        <v>7</v>
      </c>
      <c r="CB48" s="103" t="b">
        <f>IF(CH57=18,1)</f>
        <v>0</v>
      </c>
      <c r="CC48" s="169"/>
      <c r="CD48" s="169"/>
      <c r="CE48" s="169"/>
      <c r="CF48" s="169"/>
      <c r="CG48" s="169"/>
      <c r="CH48" s="169"/>
      <c r="CI48" s="169"/>
      <c r="CJ48" s="169"/>
      <c r="CK48" s="169"/>
      <c r="CL48" s="169"/>
      <c r="CM48" s="169"/>
      <c r="CN48" s="107" t="b">
        <f>IF(CH57=18,13)</f>
        <v>0</v>
      </c>
      <c r="CO48" s="161"/>
      <c r="CQ48" s="62"/>
      <c r="CR48" s="62"/>
      <c r="CS48" s="62"/>
      <c r="CT48" s="62"/>
      <c r="CU48" s="62"/>
      <c r="CV48" s="62"/>
      <c r="CW48" s="62"/>
      <c r="CX48" s="62"/>
      <c r="CY48" s="62"/>
      <c r="CZ48" s="62"/>
      <c r="DA48" s="62"/>
      <c r="DB48" s="62"/>
      <c r="DC48" s="62"/>
      <c r="DD48" s="62"/>
      <c r="EK48" s="62"/>
      <c r="EL48" s="62"/>
    </row>
    <row r="49" spans="2:142" ht="21" hidden="1" thickBot="1" x14ac:dyDescent="0.25">
      <c r="G49" s="797"/>
      <c r="H49"/>
      <c r="I49"/>
      <c r="J49" s="764">
        <f>ABS($H$1/J48)</f>
        <v>139.21113689095125</v>
      </c>
      <c r="K49" s="764">
        <f>ABS($H$1/K48)</f>
        <v>26.771372479029086</v>
      </c>
      <c r="L49" s="764">
        <f>ABS($H$1/L48)</f>
        <v>33.145508783559826</v>
      </c>
      <c r="M49" s="766" t="s">
        <v>167</v>
      </c>
      <c r="N49" s="58"/>
      <c r="O49" s="809"/>
      <c r="U49" s="97"/>
      <c r="AB49" s="97"/>
      <c r="AC49" s="97"/>
      <c r="AD49" s="97"/>
      <c r="AE49" s="97"/>
      <c r="BE49" s="119"/>
      <c r="BF49" s="119"/>
      <c r="BG49" s="119"/>
      <c r="BH49" s="119"/>
      <c r="BN49" s="69"/>
      <c r="BO49" s="863"/>
      <c r="BP49" s="160"/>
      <c r="BQ49" s="160"/>
      <c r="BR49" s="161"/>
      <c r="BS49" s="160"/>
      <c r="BT49" s="160"/>
      <c r="BU49" s="160"/>
      <c r="CA49" s="165">
        <v>6</v>
      </c>
      <c r="CB49" s="103">
        <f>IF(CG57=17,1)</f>
        <v>1</v>
      </c>
      <c r="CC49" s="169"/>
      <c r="CD49" s="169"/>
      <c r="CE49" s="169"/>
      <c r="CF49" s="169"/>
      <c r="CG49" s="169"/>
      <c r="CH49" s="169"/>
      <c r="CI49" s="169"/>
      <c r="CJ49" s="169"/>
      <c r="CK49" s="169"/>
      <c r="CL49" s="107">
        <f>IF(CG57=17,11)</f>
        <v>11</v>
      </c>
      <c r="CM49" s="160"/>
      <c r="CN49" s="160"/>
      <c r="CO49" s="161"/>
      <c r="CQ49" s="62"/>
      <c r="CR49" s="62"/>
      <c r="CS49" s="62"/>
      <c r="CT49" s="62"/>
      <c r="CU49" s="62"/>
      <c r="CV49" s="62"/>
      <c r="CW49" s="62"/>
      <c r="CX49" s="62"/>
      <c r="CY49" s="62"/>
      <c r="CZ49" s="62"/>
      <c r="DA49" s="62"/>
      <c r="DB49" s="62"/>
      <c r="DC49" s="62"/>
      <c r="DD49" s="62"/>
      <c r="EK49" s="62"/>
      <c r="EL49" s="62"/>
    </row>
    <row r="50" spans="2:142" ht="21" hidden="1" thickBot="1" x14ac:dyDescent="0.25">
      <c r="G50" s="797"/>
      <c r="H50"/>
      <c r="I50"/>
      <c r="J50" s="1045">
        <f>ABS($E$20/BQ25)*2</f>
        <v>61.871616395978343</v>
      </c>
      <c r="K50" s="1045"/>
      <c r="L50" s="1045"/>
      <c r="M50" s="1046" t="s">
        <v>308</v>
      </c>
      <c r="N50" s="1052" t="s">
        <v>309</v>
      </c>
      <c r="O50" s="794"/>
      <c r="U50" s="97"/>
      <c r="AB50" s="97"/>
      <c r="AC50" s="97"/>
      <c r="AD50" s="97"/>
      <c r="AE50" s="97"/>
      <c r="BE50" s="119"/>
      <c r="BF50" s="119"/>
      <c r="BG50" s="119"/>
      <c r="BH50" s="119"/>
      <c r="BN50" s="69"/>
      <c r="BO50" s="863"/>
      <c r="BP50" s="160"/>
      <c r="BQ50" s="160"/>
      <c r="BR50" s="161"/>
      <c r="BS50" s="160"/>
      <c r="BT50" s="160"/>
      <c r="BU50" s="160"/>
      <c r="CA50" s="165">
        <v>5</v>
      </c>
      <c r="CB50" s="100" t="b">
        <f>IF(CF57=16,1)</f>
        <v>0</v>
      </c>
      <c r="CC50" s="168"/>
      <c r="CD50" s="168"/>
      <c r="CE50" s="101"/>
      <c r="CF50" s="168"/>
      <c r="CG50" s="101"/>
      <c r="CH50" s="168"/>
      <c r="CI50" s="168"/>
      <c r="CJ50" s="86" t="b">
        <f>IF(CF57=16,9)</f>
        <v>0</v>
      </c>
      <c r="CK50" s="160"/>
      <c r="CL50" s="160"/>
      <c r="CM50" s="160"/>
      <c r="CN50" s="160"/>
      <c r="CO50" s="161"/>
      <c r="CQ50" s="62"/>
      <c r="CR50" s="62"/>
      <c r="CS50" s="62"/>
      <c r="CT50" s="62"/>
      <c r="CU50" s="62"/>
      <c r="CV50" s="62"/>
      <c r="CW50" s="62"/>
      <c r="CX50" s="62"/>
      <c r="CY50" s="62"/>
      <c r="CZ50" s="62"/>
      <c r="DA50" s="62"/>
      <c r="DB50" s="62"/>
      <c r="DC50" s="62"/>
      <c r="DD50" s="62"/>
      <c r="EK50" s="62"/>
      <c r="EL50" s="62"/>
    </row>
    <row r="51" spans="2:142" ht="21" hidden="1" thickBot="1" x14ac:dyDescent="0.25">
      <c r="B51" s="309"/>
      <c r="C51" s="309"/>
      <c r="D51" s="310"/>
      <c r="E51" s="310"/>
      <c r="F51" s="310"/>
      <c r="G51" s="797"/>
      <c r="H51"/>
      <c r="I51"/>
      <c r="J51" s="43"/>
      <c r="K51" s="43"/>
      <c r="L51" s="43"/>
      <c r="M51" s="43"/>
      <c r="N51"/>
      <c r="O51" s="794"/>
      <c r="BD51" s="109"/>
      <c r="BE51" s="119"/>
      <c r="BF51" s="119"/>
      <c r="BG51" s="119"/>
      <c r="BH51" s="119"/>
      <c r="BN51" s="69"/>
      <c r="BO51" s="863"/>
      <c r="BP51" s="160"/>
      <c r="BQ51" s="160"/>
      <c r="BR51" s="161"/>
      <c r="BS51" s="160"/>
      <c r="BT51" s="160"/>
      <c r="BU51" s="160"/>
      <c r="CA51" s="165">
        <v>4</v>
      </c>
      <c r="CB51" s="100" t="b">
        <f>IF(CE57=15,1)</f>
        <v>0</v>
      </c>
      <c r="CC51" s="101"/>
      <c r="CD51" s="101"/>
      <c r="CE51" s="168"/>
      <c r="CF51" s="101"/>
      <c r="CG51" s="101"/>
      <c r="CH51" s="86" t="b">
        <f>IF(CE57=15,7)</f>
        <v>0</v>
      </c>
      <c r="CI51" s="160"/>
      <c r="CJ51" s="160"/>
      <c r="CK51" s="160"/>
      <c r="CL51" s="160"/>
      <c r="CM51" s="160"/>
      <c r="CN51" s="160"/>
      <c r="CO51" s="161"/>
      <c r="CQ51" s="62"/>
      <c r="CR51" s="62"/>
      <c r="CS51" s="62"/>
      <c r="CT51" s="62"/>
      <c r="CU51" s="62"/>
      <c r="CV51" s="62"/>
      <c r="CW51" s="62"/>
      <c r="CX51" s="62"/>
      <c r="CY51" s="62"/>
      <c r="CZ51" s="62"/>
      <c r="DA51" s="62"/>
      <c r="DB51" s="62"/>
      <c r="DC51" s="62"/>
      <c r="DD51" s="62"/>
      <c r="EK51" s="62"/>
      <c r="EL51" s="62"/>
    </row>
    <row r="52" spans="2:142" ht="21" hidden="1" thickBot="1" x14ac:dyDescent="0.25">
      <c r="G52" s="797"/>
      <c r="H52"/>
      <c r="I52" s="783">
        <v>64</v>
      </c>
      <c r="J52" s="769" t="s">
        <v>203</v>
      </c>
      <c r="K52" s="932"/>
      <c r="L52" s="932"/>
      <c r="M52" s="932"/>
      <c r="N52"/>
      <c r="O52" s="794"/>
      <c r="BD52" s="109"/>
      <c r="BE52" s="119"/>
      <c r="BF52" s="119"/>
      <c r="BG52" s="119"/>
      <c r="BH52" s="119"/>
      <c r="BN52" s="69"/>
      <c r="BO52" s="863"/>
      <c r="BP52" s="160"/>
      <c r="BQ52" s="160"/>
      <c r="BR52" s="161"/>
      <c r="BS52" s="160"/>
      <c r="BT52" s="160"/>
      <c r="BU52" s="160"/>
      <c r="CA52" s="165">
        <v>3</v>
      </c>
      <c r="CB52" s="103" t="b">
        <f>IF(CD57=14,1)</f>
        <v>0</v>
      </c>
      <c r="CC52" s="169"/>
      <c r="CD52" s="169"/>
      <c r="CE52" s="169"/>
      <c r="CF52" s="107" t="b">
        <f>IF(CD57=14,5)</f>
        <v>0</v>
      </c>
      <c r="CG52" s="160"/>
      <c r="CH52" s="160"/>
      <c r="CI52" s="160"/>
      <c r="CJ52" s="160"/>
      <c r="CK52" s="160"/>
      <c r="CL52" s="160"/>
      <c r="CM52" s="160"/>
      <c r="CN52" s="160"/>
      <c r="CO52" s="161"/>
      <c r="CQ52" s="62"/>
      <c r="CR52" s="62"/>
      <c r="CS52" s="62"/>
      <c r="CT52" s="62"/>
      <c r="CU52" s="62"/>
      <c r="CV52" s="62"/>
      <c r="CW52" s="62"/>
      <c r="CX52" s="62"/>
      <c r="CY52" s="62"/>
      <c r="CZ52" s="62"/>
      <c r="DA52" s="62"/>
      <c r="DB52" s="62"/>
      <c r="DC52" s="62"/>
      <c r="DD52" s="62"/>
      <c r="EK52" s="62"/>
      <c r="EL52" s="62"/>
    </row>
    <row r="53" spans="2:142" ht="24" hidden="1" thickBot="1" x14ac:dyDescent="0.3">
      <c r="B53"/>
      <c r="G53" s="801" t="s">
        <v>190</v>
      </c>
      <c r="H53" s="806" t="s">
        <v>197</v>
      </c>
      <c r="I53"/>
      <c r="J53" s="771" t="s">
        <v>189</v>
      </c>
      <c r="K53" s="761"/>
      <c r="L53" s="771" t="s">
        <v>187</v>
      </c>
      <c r="M53" s="924"/>
      <c r="N53"/>
      <c r="O53" s="794"/>
      <c r="BD53" s="109"/>
      <c r="BE53" s="119"/>
      <c r="BF53" s="119"/>
      <c r="BG53" s="119"/>
      <c r="BH53" s="119"/>
      <c r="BN53" s="69"/>
      <c r="BO53" s="863"/>
      <c r="BP53" s="160"/>
      <c r="BQ53" s="160"/>
      <c r="BR53" s="161"/>
      <c r="BS53" s="160"/>
      <c r="BT53" s="160"/>
      <c r="BU53" s="160"/>
      <c r="CA53" s="165">
        <v>2</v>
      </c>
      <c r="CB53" s="103" t="b">
        <f>IF(CC57=13,1)</f>
        <v>0</v>
      </c>
      <c r="CC53" s="169"/>
      <c r="CD53" s="107" t="b">
        <f>IF(CC57=13,3)</f>
        <v>0</v>
      </c>
      <c r="CE53" s="160"/>
      <c r="CF53" s="160"/>
      <c r="CG53" s="160"/>
      <c r="CH53" s="160"/>
      <c r="CI53" s="160"/>
      <c r="CJ53" s="160"/>
      <c r="CK53" s="160"/>
      <c r="CL53" s="160"/>
      <c r="CM53" s="160"/>
      <c r="CN53" s="160"/>
      <c r="CO53" s="161"/>
      <c r="CQ53" s="62"/>
      <c r="CR53" s="62"/>
      <c r="CS53" s="62"/>
      <c r="CT53" s="62"/>
      <c r="CU53" s="62"/>
      <c r="CV53" s="62"/>
      <c r="CW53" s="62"/>
      <c r="CX53" s="62"/>
      <c r="CY53" s="62"/>
      <c r="CZ53" s="62"/>
      <c r="DA53" s="62"/>
      <c r="DB53" s="62"/>
      <c r="DC53" s="62"/>
      <c r="DD53" s="62"/>
      <c r="EK53" s="62"/>
      <c r="EL53" s="62"/>
    </row>
    <row r="54" spans="2:142" ht="21" thickBot="1" x14ac:dyDescent="0.25">
      <c r="B54" s="309"/>
      <c r="C54" s="309"/>
      <c r="D54" s="310"/>
      <c r="E54" s="310"/>
      <c r="F54" s="310"/>
      <c r="G54" s="793" t="s">
        <v>188</v>
      </c>
      <c r="H54" s="756"/>
      <c r="I54"/>
      <c r="J54" s="763">
        <f>+((H6-D3)/H6)*BQ25</f>
        <v>160.95482756345734</v>
      </c>
      <c r="K54" s="763"/>
      <c r="L54" s="763">
        <f>+(D3/H6)*BQ25</f>
        <v>97.645172436542666</v>
      </c>
      <c r="M54" s="761" t="s">
        <v>168</v>
      </c>
      <c r="N54"/>
      <c r="O54" s="794"/>
      <c r="BD54" s="109"/>
      <c r="BE54" s="119"/>
      <c r="BF54" s="119"/>
      <c r="BG54" s="119"/>
      <c r="BH54" s="119"/>
      <c r="BN54" s="69"/>
      <c r="BO54" s="863"/>
      <c r="BP54" s="160"/>
      <c r="BQ54" s="160"/>
      <c r="BR54" s="161"/>
      <c r="BS54" s="160"/>
      <c r="BT54" s="160"/>
      <c r="BU54" s="160"/>
      <c r="BV54" s="60"/>
      <c r="BW54" s="160"/>
      <c r="CA54" s="160"/>
      <c r="CB54" s="160"/>
      <c r="CC54" s="160"/>
      <c r="CD54" s="160"/>
      <c r="CE54" s="160"/>
      <c r="CF54" s="160"/>
      <c r="CG54" s="160"/>
      <c r="CH54" s="160"/>
      <c r="CI54" s="160"/>
      <c r="CJ54" s="160"/>
      <c r="CK54" s="160"/>
      <c r="CL54" s="161"/>
      <c r="CM54" s="90"/>
      <c r="CN54" s="90"/>
      <c r="CO54" s="90"/>
      <c r="CQ54" s="62"/>
      <c r="CR54" s="62"/>
      <c r="CS54" s="62"/>
      <c r="CT54" s="62"/>
      <c r="CU54" s="62"/>
      <c r="CV54" s="62"/>
      <c r="CW54" s="62"/>
      <c r="CX54" s="62"/>
      <c r="CY54" s="62"/>
      <c r="CZ54" s="62"/>
      <c r="DA54" s="62"/>
      <c r="DB54" s="62"/>
      <c r="DC54" s="62"/>
      <c r="DD54" s="62"/>
      <c r="EK54" s="62"/>
      <c r="EL54" s="62"/>
    </row>
    <row r="55" spans="2:142" ht="44" thickBot="1" x14ac:dyDescent="0.3">
      <c r="B55" s="309"/>
      <c r="C55" s="309"/>
      <c r="D55" s="310"/>
      <c r="E55" s="310"/>
      <c r="F55" s="310"/>
      <c r="G55" s="799"/>
      <c r="H55" s="47"/>
      <c r="I55"/>
      <c r="J55" s="764">
        <f>ABS($H$1/J54)</f>
        <v>111.83261957708848</v>
      </c>
      <c r="K55" s="764"/>
      <c r="L55" s="764">
        <f>ABS($H$1/L54)</f>
        <v>184.34091057289885</v>
      </c>
      <c r="M55" s="766" t="s">
        <v>167</v>
      </c>
      <c r="N55"/>
      <c r="O55" s="794"/>
      <c r="BD55" s="109"/>
      <c r="BE55" s="119"/>
      <c r="BF55" s="119"/>
      <c r="BG55" s="119"/>
      <c r="BH55" s="119"/>
      <c r="BI55" s="119"/>
      <c r="BK55" s="119"/>
      <c r="BL55" s="119"/>
      <c r="BM55" s="305"/>
      <c r="BN55" s="171"/>
      <c r="BO55" s="866" t="s">
        <v>112</v>
      </c>
      <c r="BP55" s="589" t="s">
        <v>110</v>
      </c>
      <c r="BQ55" s="173"/>
      <c r="BR55" s="174"/>
      <c r="BS55" s="174"/>
      <c r="BT55" s="174"/>
      <c r="BU55" s="174"/>
      <c r="BV55" s="174"/>
      <c r="BW55" s="174"/>
      <c r="BX55" s="174"/>
      <c r="BY55" s="174"/>
      <c r="BZ55" s="174"/>
      <c r="CA55" s="174"/>
      <c r="CB55" s="601">
        <f>SUM(CB39:CB54)</f>
        <v>1</v>
      </c>
      <c r="CC55" s="602">
        <f t="shared" ref="CC55:CR55" si="0">SUM(CC39:CC54)</f>
        <v>0</v>
      </c>
      <c r="CD55" s="602">
        <f t="shared" si="0"/>
        <v>0</v>
      </c>
      <c r="CE55" s="602">
        <f t="shared" si="0"/>
        <v>0</v>
      </c>
      <c r="CF55" s="602">
        <f t="shared" si="0"/>
        <v>0</v>
      </c>
      <c r="CG55" s="602">
        <f t="shared" si="0"/>
        <v>0</v>
      </c>
      <c r="CH55" s="602">
        <f t="shared" si="0"/>
        <v>0</v>
      </c>
      <c r="CI55" s="602">
        <f t="shared" si="0"/>
        <v>0</v>
      </c>
      <c r="CJ55" s="602">
        <f t="shared" si="0"/>
        <v>0</v>
      </c>
      <c r="CK55" s="602">
        <f t="shared" si="0"/>
        <v>0</v>
      </c>
      <c r="CL55" s="602">
        <f t="shared" si="0"/>
        <v>11</v>
      </c>
      <c r="CM55" s="602">
        <f t="shared" si="0"/>
        <v>0</v>
      </c>
      <c r="CN55" s="602">
        <f t="shared" si="0"/>
        <v>0</v>
      </c>
      <c r="CO55" s="602">
        <f t="shared" si="0"/>
        <v>0</v>
      </c>
      <c r="CP55" s="602">
        <f t="shared" si="0"/>
        <v>0</v>
      </c>
      <c r="CQ55" s="602">
        <f t="shared" si="0"/>
        <v>0</v>
      </c>
      <c r="CR55" s="603">
        <f t="shared" si="0"/>
        <v>0</v>
      </c>
      <c r="CS55" s="174"/>
      <c r="CT55" s="174"/>
      <c r="CU55" s="175"/>
      <c r="CV55" s="175"/>
      <c r="CW55" s="175"/>
      <c r="CX55" s="175"/>
      <c r="CY55" s="175"/>
      <c r="CZ55" s="175"/>
      <c r="DA55" s="176"/>
      <c r="DB55" s="72"/>
      <c r="DC55" s="62"/>
      <c r="DD55" s="62"/>
      <c r="EK55" s="62"/>
      <c r="EL55" s="62"/>
    </row>
    <row r="56" spans="2:142" ht="31" thickBot="1" x14ac:dyDescent="0.3">
      <c r="G56" s="799"/>
      <c r="H56" s="47"/>
      <c r="I56" s="58"/>
      <c r="J56" s="1045">
        <f>ABS($E$20/BQ25)*2</f>
        <v>61.871616395978343</v>
      </c>
      <c r="K56" s="1045"/>
      <c r="L56" s="1045"/>
      <c r="M56" s="1046" t="s">
        <v>308</v>
      </c>
      <c r="N56" s="1052" t="s">
        <v>309</v>
      </c>
      <c r="O56" s="794"/>
      <c r="BD56" s="119"/>
      <c r="BE56" s="119"/>
      <c r="BF56" s="119"/>
      <c r="BG56" s="119"/>
      <c r="BH56" s="119"/>
      <c r="BI56" s="119"/>
      <c r="BJ56" s="119"/>
      <c r="BK56" s="119"/>
      <c r="BL56" s="767">
        <v>4</v>
      </c>
      <c r="BM56" s="1055" t="b">
        <f>AND(BO56&gt;=10,$BA$139&gt;=10,$BB$139&gt;=10,$BA$177&gt;=10,$BB$177&gt;=10,$BA$201&gt;=10,$BB$201&gt;=10)</f>
        <v>1</v>
      </c>
      <c r="BN56" s="67" t="str">
        <f>IF(BM56=TRUE,"O K","OVERLOAD")</f>
        <v>O K</v>
      </c>
      <c r="BO56" s="781">
        <f>+$E$20/(BQ25/2)</f>
        <v>61.871616395978343</v>
      </c>
      <c r="BP56" s="177"/>
      <c r="BQ56" s="90"/>
      <c r="BR56" s="91"/>
      <c r="BS56" s="90"/>
      <c r="BT56" s="90"/>
      <c r="BU56" s="90"/>
      <c r="BV56" s="91"/>
      <c r="BW56" s="90"/>
      <c r="BX56" s="90"/>
      <c r="BY56" s="90"/>
      <c r="BZ56" s="90"/>
      <c r="CA56" s="90"/>
      <c r="CB56" s="90"/>
      <c r="CC56" s="90"/>
      <c r="CD56" s="90"/>
      <c r="CE56" s="90"/>
      <c r="CF56" s="90"/>
      <c r="CG56" s="90"/>
      <c r="CH56" s="90"/>
      <c r="CI56" s="90"/>
      <c r="CJ56" s="90"/>
      <c r="CK56" s="90"/>
      <c r="CL56" s="90"/>
      <c r="CM56" s="90"/>
      <c r="CN56" s="90"/>
      <c r="CO56" s="90"/>
      <c r="CP56" s="90"/>
      <c r="CQ56" s="90"/>
      <c r="CR56" s="90"/>
      <c r="CS56" s="62"/>
      <c r="CT56" s="62"/>
      <c r="CU56" s="62"/>
      <c r="CV56" s="62"/>
      <c r="CW56" s="62"/>
      <c r="CX56" s="62"/>
      <c r="CY56" s="62"/>
      <c r="CZ56" s="62"/>
      <c r="DA56" s="62"/>
      <c r="DB56" s="62"/>
      <c r="DC56" s="62"/>
      <c r="DD56" s="62"/>
      <c r="EK56" s="62"/>
      <c r="EL56" s="62"/>
    </row>
    <row r="57" spans="2:142" ht="20" hidden="1" x14ac:dyDescent="0.2">
      <c r="B57" s="311"/>
      <c r="C57" s="311"/>
      <c r="G57" s="797"/>
      <c r="H57"/>
      <c r="I57"/>
      <c r="J57"/>
      <c r="K57"/>
      <c r="L57"/>
      <c r="M57"/>
      <c r="N57"/>
      <c r="O57" s="794"/>
      <c r="U57" s="170"/>
      <c r="V57" s="170"/>
      <c r="W57" s="170"/>
      <c r="X57" s="170"/>
      <c r="Y57" s="170"/>
      <c r="Z57" s="170"/>
      <c r="AA57" s="170"/>
      <c r="AF57" s="170"/>
      <c r="AG57" s="170"/>
      <c r="AH57" s="170"/>
      <c r="AI57" s="170"/>
      <c r="AJ57" s="170"/>
      <c r="AK57" s="170"/>
      <c r="AL57" s="170"/>
      <c r="AM57" s="170"/>
      <c r="AN57" s="170"/>
      <c r="AO57" s="170"/>
      <c r="AP57" s="170"/>
      <c r="AQ57" s="170"/>
      <c r="AR57" s="170"/>
      <c r="AS57" s="170"/>
      <c r="AT57" s="170"/>
      <c r="AU57" s="170"/>
      <c r="AV57" s="170"/>
      <c r="AW57" s="170"/>
      <c r="AX57" s="170"/>
      <c r="AY57" s="170"/>
      <c r="AZ57" s="170"/>
      <c r="BA57" s="170"/>
      <c r="BB57" s="170"/>
      <c r="BC57" s="109"/>
      <c r="BD57" s="119"/>
      <c r="BE57" s="119"/>
      <c r="BF57" s="119"/>
      <c r="BG57" s="119"/>
      <c r="BH57" s="119"/>
      <c r="BI57" s="119"/>
      <c r="BJ57" s="119"/>
      <c r="BK57" s="119"/>
      <c r="BL57" s="119"/>
      <c r="BM57" s="305"/>
      <c r="BN57" s="171"/>
      <c r="BO57" s="863"/>
      <c r="BP57" s="60"/>
      <c r="BQ57" s="178" t="b">
        <f>+BK170</f>
        <v>0</v>
      </c>
      <c r="BR57" s="178" t="b">
        <f>+BK171</f>
        <v>0</v>
      </c>
      <c r="BS57" s="178" t="b">
        <f>+BK172</f>
        <v>0</v>
      </c>
      <c r="BT57" s="178" t="b">
        <f>+BK173</f>
        <v>0</v>
      </c>
      <c r="BU57" s="178" t="b">
        <f>+BK174</f>
        <v>0</v>
      </c>
      <c r="BV57" s="178" t="b">
        <f>+BK175</f>
        <v>0</v>
      </c>
      <c r="BW57" s="178" t="b">
        <f>+BK176</f>
        <v>0</v>
      </c>
      <c r="BX57" s="178" t="b">
        <f>+BK177</f>
        <v>0</v>
      </c>
      <c r="BY57" s="178" t="b">
        <f>+BK178</f>
        <v>0</v>
      </c>
      <c r="BZ57" s="178" t="b">
        <f>+BK179</f>
        <v>0</v>
      </c>
      <c r="CA57" s="178" t="b">
        <f>+BK180</f>
        <v>0</v>
      </c>
      <c r="CB57" s="178" t="b">
        <f>+BK181</f>
        <v>0</v>
      </c>
      <c r="CC57" s="178" t="b">
        <f>+BK182</f>
        <v>0</v>
      </c>
      <c r="CD57" s="178" t="b">
        <f>+BK183</f>
        <v>0</v>
      </c>
      <c r="CE57" s="178" t="b">
        <f>+BK184</f>
        <v>0</v>
      </c>
      <c r="CF57" s="178" t="b">
        <f>+BK185</f>
        <v>0</v>
      </c>
      <c r="CG57" s="178">
        <f>+BK186</f>
        <v>17</v>
      </c>
      <c r="CH57" s="178" t="b">
        <f>+BK187</f>
        <v>0</v>
      </c>
      <c r="CI57" s="178" t="b">
        <f>+BK188</f>
        <v>0</v>
      </c>
      <c r="CJ57" s="178" t="b">
        <f>+BK189</f>
        <v>0</v>
      </c>
      <c r="CK57" s="178" t="b">
        <f>+BK190</f>
        <v>0</v>
      </c>
      <c r="CL57" s="178" t="b">
        <f>+BK191</f>
        <v>0</v>
      </c>
      <c r="CM57" s="178" t="b">
        <f>+BK195</f>
        <v>0</v>
      </c>
      <c r="CN57" s="178" t="b">
        <f>+BK196</f>
        <v>0</v>
      </c>
      <c r="CO57" s="178" t="b">
        <f>+BK197</f>
        <v>0</v>
      </c>
      <c r="CP57" s="178" t="b">
        <f>+BK198</f>
        <v>0</v>
      </c>
      <c r="CQ57" s="178" t="b">
        <f>+BK199</f>
        <v>0</v>
      </c>
      <c r="CR57" s="178" t="b">
        <f>+BK200</f>
        <v>0</v>
      </c>
      <c r="CS57" s="178" t="b">
        <f>+BK201</f>
        <v>0</v>
      </c>
      <c r="CT57" s="178" t="b">
        <f>+BK202</f>
        <v>0</v>
      </c>
      <c r="CU57" s="178" t="b">
        <f>+BK203</f>
        <v>0</v>
      </c>
      <c r="CV57" s="178" t="b">
        <f>+BK204</f>
        <v>0</v>
      </c>
      <c r="CW57" s="178" t="b">
        <f>+BK205</f>
        <v>0</v>
      </c>
      <c r="CX57" s="178" t="b">
        <f>+BK206</f>
        <v>0</v>
      </c>
      <c r="CY57" s="178" t="b">
        <f>+BK207</f>
        <v>0</v>
      </c>
      <c r="CZ57" s="178" t="b">
        <f>+BK208</f>
        <v>0</v>
      </c>
      <c r="DA57" s="178" t="b">
        <f>+BK209</f>
        <v>0</v>
      </c>
      <c r="DB57" s="179"/>
      <c r="DC57" s="62"/>
      <c r="DD57" s="62"/>
      <c r="EK57" s="62"/>
      <c r="EL57" s="62"/>
    </row>
    <row r="58" spans="2:142" ht="20" hidden="1" x14ac:dyDescent="0.2">
      <c r="E58" s="191"/>
      <c r="F58" s="191"/>
      <c r="G58" s="797"/>
      <c r="H58"/>
      <c r="I58"/>
      <c r="J58"/>
      <c r="K58"/>
      <c r="L58"/>
      <c r="M58"/>
      <c r="N58"/>
      <c r="O58" s="794"/>
      <c r="BD58" s="119"/>
      <c r="BE58" s="119"/>
      <c r="BF58" s="119"/>
      <c r="BG58" s="119"/>
      <c r="BH58" s="119"/>
      <c r="BI58" s="119"/>
      <c r="BJ58" s="119"/>
      <c r="BK58" s="119"/>
      <c r="BL58" s="119"/>
      <c r="BM58" s="305"/>
      <c r="BN58" s="171"/>
      <c r="BO58" s="863"/>
      <c r="BP58" s="62"/>
      <c r="BQ58" s="179" t="b">
        <f>+BQ57</f>
        <v>0</v>
      </c>
      <c r="BR58" s="179" t="b">
        <f t="shared" ref="BR58:CI58" si="1">+BR57</f>
        <v>0</v>
      </c>
      <c r="BS58" s="179" t="b">
        <f t="shared" si="1"/>
        <v>0</v>
      </c>
      <c r="BT58" s="179" t="b">
        <f t="shared" si="1"/>
        <v>0</v>
      </c>
      <c r="BU58" s="179" t="b">
        <f t="shared" si="1"/>
        <v>0</v>
      </c>
      <c r="BV58" s="179" t="b">
        <f t="shared" si="1"/>
        <v>0</v>
      </c>
      <c r="BW58" s="179" t="b">
        <f>+BW57</f>
        <v>0</v>
      </c>
      <c r="BX58" s="179" t="b">
        <f t="shared" si="1"/>
        <v>0</v>
      </c>
      <c r="BY58" s="179" t="b">
        <f t="shared" si="1"/>
        <v>0</v>
      </c>
      <c r="BZ58" s="179" t="b">
        <f t="shared" si="1"/>
        <v>0</v>
      </c>
      <c r="CA58" s="179" t="b">
        <f t="shared" si="1"/>
        <v>0</v>
      </c>
      <c r="CB58" s="179" t="b">
        <f>+CB57</f>
        <v>0</v>
      </c>
      <c r="CC58" s="179" t="b">
        <f>+CC57</f>
        <v>0</v>
      </c>
      <c r="CD58" s="179" t="b">
        <f>+CD57</f>
        <v>0</v>
      </c>
      <c r="CE58" s="179" t="b">
        <f>+CE57</f>
        <v>0</v>
      </c>
      <c r="CF58" s="179" t="b">
        <f>+CF57</f>
        <v>0</v>
      </c>
      <c r="CG58" s="179">
        <f t="shared" si="1"/>
        <v>17</v>
      </c>
      <c r="CH58" s="179" t="b">
        <f t="shared" si="1"/>
        <v>0</v>
      </c>
      <c r="CI58" s="179" t="b">
        <f t="shared" si="1"/>
        <v>0</v>
      </c>
      <c r="CJ58" s="179" t="b">
        <f>+CJ57</f>
        <v>0</v>
      </c>
      <c r="CK58" s="179" t="b">
        <f>+CK57</f>
        <v>0</v>
      </c>
      <c r="CL58" s="179" t="b">
        <f t="shared" ref="CL58:DA58" si="2">+CL57</f>
        <v>0</v>
      </c>
      <c r="CM58" s="179" t="b">
        <f t="shared" si="2"/>
        <v>0</v>
      </c>
      <c r="CN58" s="179" t="b">
        <f t="shared" si="2"/>
        <v>0</v>
      </c>
      <c r="CO58" s="179" t="b">
        <f t="shared" si="2"/>
        <v>0</v>
      </c>
      <c r="CP58" s="179" t="b">
        <f t="shared" si="2"/>
        <v>0</v>
      </c>
      <c r="CQ58" s="179" t="b">
        <f t="shared" si="2"/>
        <v>0</v>
      </c>
      <c r="CR58" s="179" t="b">
        <f t="shared" si="2"/>
        <v>0</v>
      </c>
      <c r="CS58" s="179" t="b">
        <f t="shared" si="2"/>
        <v>0</v>
      </c>
      <c r="CT58" s="179" t="b">
        <f t="shared" si="2"/>
        <v>0</v>
      </c>
      <c r="CU58" s="179" t="b">
        <f t="shared" si="2"/>
        <v>0</v>
      </c>
      <c r="CV58" s="179" t="b">
        <f t="shared" si="2"/>
        <v>0</v>
      </c>
      <c r="CW58" s="179" t="b">
        <f t="shared" si="2"/>
        <v>0</v>
      </c>
      <c r="CX58" s="179" t="b">
        <f t="shared" si="2"/>
        <v>0</v>
      </c>
      <c r="CY58" s="179" t="b">
        <f t="shared" si="2"/>
        <v>0</v>
      </c>
      <c r="CZ58" s="179" t="b">
        <f t="shared" si="2"/>
        <v>0</v>
      </c>
      <c r="DA58" s="179" t="b">
        <f t="shared" si="2"/>
        <v>0</v>
      </c>
      <c r="DB58" s="179"/>
      <c r="DC58" s="62"/>
      <c r="DD58" s="62"/>
      <c r="EK58" s="62"/>
      <c r="EL58" s="62"/>
    </row>
    <row r="59" spans="2:142" ht="21" thickBot="1" x14ac:dyDescent="0.25">
      <c r="E59" s="191"/>
      <c r="F59" s="191"/>
      <c r="G59" s="797"/>
      <c r="H59"/>
      <c r="I59"/>
      <c r="J59"/>
      <c r="K59"/>
      <c r="L59"/>
      <c r="M59"/>
      <c r="N59"/>
      <c r="O59" s="794"/>
      <c r="V59" s="313"/>
      <c r="W59" s="313"/>
      <c r="X59" s="313"/>
      <c r="Y59" s="313"/>
      <c r="Z59" s="313"/>
      <c r="AA59" s="313"/>
      <c r="AF59" s="304"/>
      <c r="AG59" s="304"/>
      <c r="AH59" s="304"/>
      <c r="AI59" s="304"/>
      <c r="AJ59" s="304"/>
      <c r="AK59" s="304"/>
      <c r="AL59" s="304"/>
      <c r="AM59" s="304"/>
      <c r="AN59" s="304"/>
      <c r="AO59" s="304"/>
      <c r="AP59" s="304"/>
      <c r="AQ59" s="304"/>
      <c r="AR59" s="304"/>
      <c r="AS59" s="304"/>
      <c r="AT59" s="304"/>
      <c r="AU59" s="304"/>
      <c r="AV59" s="304"/>
      <c r="AW59" s="304"/>
      <c r="AX59" s="304"/>
      <c r="AY59" s="304"/>
      <c r="AZ59" s="304"/>
      <c r="BA59" s="304"/>
      <c r="BB59" s="304"/>
      <c r="BC59" s="126"/>
      <c r="BD59" s="119"/>
      <c r="BE59" s="119"/>
      <c r="BF59" s="119"/>
      <c r="BG59" s="119"/>
      <c r="BH59" s="119"/>
      <c r="BI59" s="119"/>
      <c r="BJ59" s="119"/>
      <c r="BK59" s="119"/>
      <c r="BL59" s="119"/>
      <c r="BM59" s="305"/>
      <c r="BN59" s="171"/>
      <c r="BO59" s="863"/>
      <c r="BP59" s="62"/>
      <c r="BQ59" s="179"/>
      <c r="BR59" s="179"/>
      <c r="BS59" s="179"/>
      <c r="BT59" s="179"/>
      <c r="BU59" s="179"/>
      <c r="BV59" s="179"/>
      <c r="BW59" s="179"/>
      <c r="BX59" s="179"/>
      <c r="BY59" s="179"/>
      <c r="BZ59" s="179"/>
      <c r="CA59" s="179"/>
      <c r="CB59" s="179"/>
      <c r="CC59" s="179"/>
      <c r="CD59" s="179"/>
      <c r="CE59" s="179"/>
      <c r="CF59" s="179"/>
      <c r="CG59" s="179"/>
      <c r="CH59" s="179"/>
      <c r="CI59" s="179"/>
      <c r="CJ59" s="179"/>
      <c r="CK59" s="179"/>
      <c r="CL59" s="179"/>
      <c r="CM59" s="179"/>
      <c r="CN59" s="179"/>
      <c r="CO59" s="179"/>
      <c r="CP59" s="179"/>
      <c r="CQ59" s="179"/>
      <c r="CR59" s="179"/>
      <c r="CS59" s="179"/>
      <c r="CT59" s="179"/>
      <c r="CU59" s="179"/>
      <c r="CV59" s="179"/>
      <c r="CW59" s="179"/>
      <c r="CX59" s="179"/>
      <c r="CY59" s="179"/>
      <c r="CZ59" s="179"/>
      <c r="DA59" s="179"/>
      <c r="DB59" s="179"/>
      <c r="DC59" s="62"/>
      <c r="DD59" s="62"/>
      <c r="EK59" s="62"/>
      <c r="EL59" s="62"/>
    </row>
    <row r="60" spans="2:142" ht="24" thickBot="1" x14ac:dyDescent="0.3">
      <c r="E60" s="191"/>
      <c r="F60" s="191"/>
      <c r="G60" s="797"/>
      <c r="H60"/>
      <c r="I60"/>
      <c r="J60"/>
      <c r="K60"/>
      <c r="L60"/>
      <c r="M60"/>
      <c r="N60"/>
      <c r="O60" s="794"/>
      <c r="BD60" s="119"/>
      <c r="BE60" s="119"/>
      <c r="BF60" s="119"/>
      <c r="BG60" s="119"/>
      <c r="BH60" s="119"/>
      <c r="BI60" s="119"/>
      <c r="BJ60" s="119"/>
      <c r="BK60" s="119"/>
      <c r="BL60" s="119"/>
      <c r="BM60" s="305"/>
      <c r="BN60" s="171"/>
      <c r="BO60" s="866" t="s">
        <v>112</v>
      </c>
      <c r="BP60" s="180" t="s">
        <v>113</v>
      </c>
      <c r="BQ60" s="591" t="str">
        <f>IF(BQ58=1,17,"")</f>
        <v/>
      </c>
      <c r="BR60" s="592" t="str">
        <f>IF(BR58=2,16,"")</f>
        <v/>
      </c>
      <c r="BS60" s="592" t="str">
        <f>IF(BS58=3,15,"")</f>
        <v/>
      </c>
      <c r="BT60" s="592" t="str">
        <f>IF(BT58=4,14,"")</f>
        <v/>
      </c>
      <c r="BU60" s="592" t="str">
        <f>IF(BU58=5,13,"")</f>
        <v/>
      </c>
      <c r="BV60" s="592" t="str">
        <f>IF(BV58=6,12,"")</f>
        <v/>
      </c>
      <c r="BW60" s="592" t="str">
        <f>IF(BW58=7,11,"")</f>
        <v/>
      </c>
      <c r="BX60" s="592" t="str">
        <f>IF(BX58=8,10,"")</f>
        <v/>
      </c>
      <c r="BY60" s="592" t="str">
        <f>IF(BY58=9,9,"")</f>
        <v/>
      </c>
      <c r="BZ60" s="592" t="str">
        <f>IF(BZ58=10,8,"")</f>
        <v/>
      </c>
      <c r="CA60" s="592" t="str">
        <f>IF(CA58=11,7,"")</f>
        <v/>
      </c>
      <c r="CB60" s="733" t="str">
        <f>IF(CB58=12,1,"")</f>
        <v/>
      </c>
      <c r="CC60" s="590" t="str">
        <f>IF(CC58=13,2,"")</f>
        <v/>
      </c>
      <c r="CD60" s="590" t="str">
        <f>IF(CD58=14,3,"")</f>
        <v/>
      </c>
      <c r="CE60" s="590" t="str">
        <f>IF(CE58=15,4,"")</f>
        <v/>
      </c>
      <c r="CF60" s="590" t="str">
        <f>IF(CF58=16,5,"")</f>
        <v/>
      </c>
      <c r="CG60" s="590">
        <f>IF(CG58=17,6,"")</f>
        <v>6</v>
      </c>
      <c r="CH60" s="590" t="str">
        <f>IF(CH58=18,7,"")</f>
        <v/>
      </c>
      <c r="CI60" s="590" t="str">
        <f>IF(CI58=19,8,"")</f>
        <v/>
      </c>
      <c r="CJ60" s="590" t="str">
        <f>IF(CJ58=20,9,"")</f>
        <v/>
      </c>
      <c r="CK60" s="590" t="str">
        <f>IF(CK58=21,10,"")</f>
        <v/>
      </c>
      <c r="CL60" s="590" t="str">
        <f>IF(CL58=22,11,"")</f>
        <v/>
      </c>
      <c r="CM60" s="590" t="str">
        <f>IF(CM58=23,12,"")</f>
        <v/>
      </c>
      <c r="CN60" s="590" t="str">
        <f>IF(CN58=24,13,"")</f>
        <v/>
      </c>
      <c r="CO60" s="590" t="str">
        <f>IF(CO58=25,14,"")</f>
        <v/>
      </c>
      <c r="CP60" s="590" t="str">
        <f>IF(CP58=26,15,"")</f>
        <v/>
      </c>
      <c r="CQ60" s="590" t="str">
        <f>IF(CQ58=27,16,"")</f>
        <v/>
      </c>
      <c r="CR60" s="734" t="str">
        <f>IF(CR58=28,17,"")</f>
        <v/>
      </c>
      <c r="CS60" s="599" t="str">
        <f>IF(CS58=29,9,"")</f>
        <v/>
      </c>
      <c r="CT60" s="599" t="str">
        <f>IF(CT58=30,10,"")</f>
        <v/>
      </c>
      <c r="CU60" s="599" t="str">
        <f>IF(CU58=31,11,"")</f>
        <v/>
      </c>
      <c r="CV60" s="599" t="str">
        <f>IF(CV58=32,12,"")</f>
        <v/>
      </c>
      <c r="CW60" s="599" t="str">
        <f>IF(CW58=33,13,"")</f>
        <v/>
      </c>
      <c r="CX60" s="599" t="str">
        <f>IF(CX58=34,14,"")</f>
        <v/>
      </c>
      <c r="CY60" s="599" t="str">
        <f>IF(CY58=35,15,"")</f>
        <v/>
      </c>
      <c r="CZ60" s="599" t="str">
        <f>IF(CZ58=36,16,"")</f>
        <v/>
      </c>
      <c r="DA60" s="600" t="str">
        <f>IF(DA58=37,17,"")</f>
        <v/>
      </c>
      <c r="DB60" s="181"/>
      <c r="DC60" s="62"/>
      <c r="DD60" s="62"/>
      <c r="EK60" s="62"/>
      <c r="EL60" s="62"/>
    </row>
    <row r="61" spans="2:142" ht="31" thickBot="1" x14ac:dyDescent="0.3">
      <c r="E61" s="191"/>
      <c r="F61" s="191"/>
      <c r="G61" s="797"/>
      <c r="H61"/>
      <c r="I61"/>
      <c r="J61"/>
      <c r="K61"/>
      <c r="L61"/>
      <c r="M61"/>
      <c r="N61"/>
      <c r="O61" s="794"/>
      <c r="BD61" s="119"/>
      <c r="BE61" s="119"/>
      <c r="BF61" s="119"/>
      <c r="BG61" s="119"/>
      <c r="BH61" s="119"/>
      <c r="BI61" s="119"/>
      <c r="BJ61" s="119"/>
      <c r="BK61" s="119"/>
      <c r="BL61" s="767">
        <v>5</v>
      </c>
      <c r="BM61" s="1055" t="b">
        <f>AND(BO61&gt;=10,$BA$139&gt;=10,$BB$139&gt;=10,$BA$177&gt;=10,$BB$177&gt;=10,$BA$201&gt;=10,$BB$201&gt;=10)</f>
        <v>1</v>
      </c>
      <c r="BN61" s="67" t="str">
        <f>IF(BM61=TRUE,"O K","OVERLOAD")</f>
        <v>O K</v>
      </c>
      <c r="BO61" s="781">
        <f>IF(SUM(BQ60:CA60)&gt;0,K85,0)+IF(SUM(CB60:CR60)&gt;0,L85,0)+IF(SUM(CS60:DA60)&gt;0,M85,0)</f>
        <v>30.935808197989171</v>
      </c>
      <c r="BP61" s="631" t="s">
        <v>139</v>
      </c>
      <c r="BQ61" s="632">
        <v>-10</v>
      </c>
      <c r="BR61" s="632">
        <v>-9</v>
      </c>
      <c r="BS61" s="632">
        <v>-8</v>
      </c>
      <c r="BT61" s="632">
        <v>-7</v>
      </c>
      <c r="BU61" s="632">
        <v>-6</v>
      </c>
      <c r="BV61" s="632">
        <v>-5</v>
      </c>
      <c r="BW61" s="632">
        <v>-4</v>
      </c>
      <c r="BX61" s="632">
        <v>-3</v>
      </c>
      <c r="BY61" s="632">
        <v>-2</v>
      </c>
      <c r="BZ61" s="632">
        <v>-1</v>
      </c>
      <c r="CA61" s="632">
        <v>0</v>
      </c>
      <c r="CB61" s="632">
        <v>1</v>
      </c>
      <c r="CC61" s="632">
        <v>2</v>
      </c>
      <c r="CD61" s="632">
        <v>3</v>
      </c>
      <c r="CE61" s="632">
        <v>4</v>
      </c>
      <c r="CF61" s="632">
        <v>5</v>
      </c>
      <c r="CG61" s="632">
        <v>6</v>
      </c>
      <c r="CH61" s="632">
        <v>7</v>
      </c>
      <c r="CI61" s="632">
        <v>8</v>
      </c>
      <c r="CJ61" s="632">
        <v>9</v>
      </c>
      <c r="CK61" s="632">
        <v>10</v>
      </c>
      <c r="CL61" s="632">
        <v>11</v>
      </c>
      <c r="CM61" s="632">
        <v>12</v>
      </c>
      <c r="CN61" s="632">
        <v>13</v>
      </c>
      <c r="CO61" s="632">
        <v>14</v>
      </c>
      <c r="CP61" s="632">
        <v>15</v>
      </c>
      <c r="CQ61" s="632">
        <v>16</v>
      </c>
      <c r="CR61" s="632">
        <v>17</v>
      </c>
      <c r="CS61" s="632">
        <v>18</v>
      </c>
      <c r="CT61" s="632">
        <v>19</v>
      </c>
      <c r="CU61" s="632">
        <v>20</v>
      </c>
      <c r="CV61" s="632">
        <v>21</v>
      </c>
      <c r="CW61" s="632">
        <v>22</v>
      </c>
      <c r="CX61" s="632">
        <v>23</v>
      </c>
      <c r="CY61" s="632">
        <v>24</v>
      </c>
      <c r="CZ61" s="632">
        <v>25</v>
      </c>
      <c r="DA61" s="634">
        <v>26</v>
      </c>
      <c r="DB61" s="181"/>
      <c r="DC61" s="62"/>
      <c r="DD61" s="62"/>
      <c r="EK61" s="62"/>
      <c r="EL61" s="62"/>
    </row>
    <row r="62" spans="2:142" ht="20" hidden="1" x14ac:dyDescent="0.2">
      <c r="G62" s="797"/>
      <c r="H62"/>
      <c r="I62"/>
      <c r="J62"/>
      <c r="K62"/>
      <c r="L62"/>
      <c r="M62"/>
      <c r="N62"/>
      <c r="O62" s="794"/>
      <c r="BD62" s="119"/>
      <c r="BE62" s="119"/>
      <c r="BF62" s="119"/>
      <c r="BG62" s="119"/>
      <c r="BH62" s="119"/>
      <c r="BI62" s="119"/>
      <c r="BJ62" s="119"/>
      <c r="BK62" s="119"/>
      <c r="BL62" s="119"/>
      <c r="BM62" s="305"/>
      <c r="BN62" s="119"/>
      <c r="BP62" s="62"/>
      <c r="BQ62" s="182"/>
      <c r="BR62" s="182"/>
      <c r="BS62" s="182"/>
      <c r="BT62" s="182"/>
      <c r="BU62" s="182"/>
      <c r="BV62" s="182"/>
      <c r="BW62" s="182"/>
      <c r="BX62" s="182"/>
      <c r="BY62" s="182"/>
      <c r="BZ62" s="182"/>
      <c r="CA62" s="182"/>
      <c r="CB62" s="182"/>
      <c r="CC62" s="182"/>
      <c r="CD62" s="182"/>
      <c r="CE62" s="182"/>
      <c r="CF62" s="182"/>
      <c r="CG62" s="182"/>
      <c r="CH62" s="182"/>
      <c r="CI62" s="182"/>
      <c r="CJ62" s="182"/>
      <c r="CK62" s="182"/>
      <c r="CL62" s="182"/>
      <c r="CM62" s="182"/>
      <c r="CN62" s="182"/>
      <c r="CO62" s="182"/>
      <c r="CP62" s="182"/>
      <c r="CQ62" s="182"/>
      <c r="CR62" s="182"/>
      <c r="CS62" s="182"/>
      <c r="CT62" s="182"/>
      <c r="CU62" s="182"/>
      <c r="CV62" s="182"/>
      <c r="CW62" s="182"/>
      <c r="CX62" s="182"/>
      <c r="CY62" s="182"/>
      <c r="CZ62" s="182"/>
      <c r="DA62" s="182"/>
      <c r="DB62" s="182"/>
      <c r="DC62" s="62"/>
      <c r="DD62" s="62"/>
      <c r="EK62" s="62"/>
      <c r="EL62" s="62"/>
    </row>
    <row r="63" spans="2:142" ht="24" hidden="1" thickBot="1" x14ac:dyDescent="0.3">
      <c r="E63" s="300"/>
      <c r="F63" s="300"/>
      <c r="G63" s="797"/>
      <c r="H63"/>
      <c r="I63"/>
      <c r="J63"/>
      <c r="K63"/>
      <c r="L63"/>
      <c r="M63"/>
      <c r="N63"/>
      <c r="O63" s="794"/>
      <c r="BN63" s="69"/>
      <c r="BO63" s="11"/>
      <c r="BP63" s="79"/>
      <c r="BQ63" s="80"/>
      <c r="BR63" s="80"/>
      <c r="BS63" s="80"/>
      <c r="BT63" s="80"/>
      <c r="BU63" s="80"/>
      <c r="BV63" s="80"/>
      <c r="BW63" s="80"/>
      <c r="BX63" s="80"/>
      <c r="BY63" s="77"/>
      <c r="BZ63" s="77"/>
      <c r="CA63" s="72"/>
      <c r="CB63" s="72"/>
      <c r="CC63" s="72"/>
      <c r="CD63" s="72"/>
      <c r="CE63" s="72"/>
      <c r="CF63" s="72"/>
      <c r="CG63" s="72"/>
      <c r="CH63" s="72"/>
      <c r="CI63" s="72"/>
      <c r="CJ63" s="72"/>
      <c r="CK63" s="72"/>
      <c r="CL63" s="72"/>
      <c r="CM63" s="72"/>
      <c r="CN63" s="26"/>
      <c r="CO63" s="78"/>
      <c r="CP63" s="78"/>
      <c r="CQ63" s="78"/>
      <c r="CR63" s="78"/>
      <c r="CS63" s="75"/>
      <c r="CT63" s="75"/>
      <c r="CU63" s="75"/>
      <c r="CV63" s="75"/>
      <c r="CW63" s="75"/>
      <c r="CX63" s="75"/>
      <c r="CY63" s="75"/>
      <c r="CZ63" s="75"/>
      <c r="DA63" s="75"/>
      <c r="DB63" s="75"/>
      <c r="DC63" s="10"/>
      <c r="DD63" s="62"/>
    </row>
    <row r="64" spans="2:142" ht="24" hidden="1" thickBot="1" x14ac:dyDescent="0.3">
      <c r="E64" s="300"/>
      <c r="F64" s="300"/>
      <c r="G64" s="797"/>
      <c r="H64"/>
      <c r="I64"/>
      <c r="J64"/>
      <c r="K64"/>
      <c r="L64"/>
      <c r="M64"/>
      <c r="N64"/>
      <c r="O64" s="794"/>
      <c r="BN64" s="69"/>
      <c r="BO64" s="11"/>
      <c r="BP64" s="79">
        <v>36</v>
      </c>
      <c r="BQ64" s="80"/>
      <c r="BR64" s="80"/>
      <c r="BS64" s="80"/>
      <c r="BT64" s="80"/>
      <c r="BU64" s="80"/>
      <c r="BV64" s="80"/>
      <c r="BW64" s="80"/>
      <c r="BX64" s="80"/>
      <c r="BY64" s="77"/>
      <c r="BZ64" s="77"/>
      <c r="CA64" s="72"/>
      <c r="CB64" s="72"/>
      <c r="CC64" s="72"/>
      <c r="CD64" s="72"/>
      <c r="CE64" s="72"/>
      <c r="CF64" s="72"/>
      <c r="CG64" s="72"/>
      <c r="CH64" s="81"/>
      <c r="CI64" s="82"/>
      <c r="CJ64" s="83"/>
      <c r="CK64" s="72"/>
      <c r="CL64" s="72"/>
      <c r="CM64" s="72"/>
      <c r="CN64" s="26"/>
      <c r="CO64" s="78"/>
      <c r="CP64" s="78"/>
      <c r="CQ64" s="78"/>
      <c r="CR64" s="78"/>
      <c r="CS64" s="75"/>
      <c r="CT64" s="75"/>
      <c r="CU64" s="75"/>
      <c r="CV64" s="75"/>
      <c r="CW64" s="75"/>
      <c r="CX64" s="75"/>
      <c r="CY64" s="84" t="b">
        <f>IF(CZ57=36,35)</f>
        <v>0</v>
      </c>
      <c r="CZ64" s="85"/>
      <c r="DA64" s="86" t="b">
        <f>IF(CZ57=36,37)</f>
        <v>0</v>
      </c>
      <c r="DB64" s="75"/>
      <c r="DC64" s="10"/>
      <c r="DD64" s="62"/>
    </row>
    <row r="65" spans="5:108" ht="24" hidden="1" thickBot="1" x14ac:dyDescent="0.3">
      <c r="E65" s="300"/>
      <c r="F65" s="300"/>
      <c r="G65" s="797"/>
      <c r="H65"/>
      <c r="I65"/>
      <c r="J65"/>
      <c r="K65"/>
      <c r="L65"/>
      <c r="M65"/>
      <c r="N65"/>
      <c r="O65" s="794"/>
      <c r="BN65" s="69"/>
      <c r="BO65" s="11"/>
      <c r="BP65" s="79">
        <v>35</v>
      </c>
      <c r="BQ65" s="80"/>
      <c r="BR65" s="80"/>
      <c r="BS65" s="80"/>
      <c r="BT65" s="80"/>
      <c r="BU65" s="80"/>
      <c r="BV65" s="80"/>
      <c r="BW65" s="80"/>
      <c r="BX65" s="80"/>
      <c r="BY65" s="77"/>
      <c r="BZ65" s="77"/>
      <c r="CA65" s="72"/>
      <c r="CB65" s="72"/>
      <c r="CC65" s="72"/>
      <c r="CD65" s="72"/>
      <c r="CE65" s="72"/>
      <c r="CF65" s="72"/>
      <c r="CG65" s="72"/>
      <c r="CH65" s="87"/>
      <c r="CI65" s="72"/>
      <c r="CJ65" s="88"/>
      <c r="CK65" s="72"/>
      <c r="CL65" s="72"/>
      <c r="CM65" s="72"/>
      <c r="CN65" s="26"/>
      <c r="CO65" s="78"/>
      <c r="CP65" s="78"/>
      <c r="CQ65" s="78"/>
      <c r="CR65" s="78"/>
      <c r="CS65" s="75"/>
      <c r="CT65" s="75"/>
      <c r="CU65" s="75"/>
      <c r="CV65" s="75"/>
      <c r="CW65" s="84" t="b">
        <f>IF(CY57=35,33)</f>
        <v>0</v>
      </c>
      <c r="CX65" s="85"/>
      <c r="CY65" s="85"/>
      <c r="CZ65" s="85"/>
      <c r="DA65" s="86" t="b">
        <f>IF(CY57=35,37)</f>
        <v>0</v>
      </c>
      <c r="DB65" s="75"/>
      <c r="DC65" s="10"/>
      <c r="DD65" s="62"/>
    </row>
    <row r="66" spans="5:108" ht="24" hidden="1" thickBot="1" x14ac:dyDescent="0.3">
      <c r="E66" s="300"/>
      <c r="F66" s="300"/>
      <c r="G66" s="797"/>
      <c r="H66"/>
      <c r="I66"/>
      <c r="J66"/>
      <c r="K66"/>
      <c r="L66"/>
      <c r="M66"/>
      <c r="N66"/>
      <c r="O66" s="794"/>
      <c r="BN66" s="69"/>
      <c r="BO66" s="11"/>
      <c r="BP66" s="79">
        <v>34</v>
      </c>
      <c r="BQ66" s="80"/>
      <c r="BR66" s="80"/>
      <c r="BS66" s="80"/>
      <c r="BT66" s="80"/>
      <c r="BU66" s="80"/>
      <c r="BV66" s="80"/>
      <c r="BW66" s="80"/>
      <c r="BX66" s="80"/>
      <c r="BY66" s="77"/>
      <c r="BZ66" s="77"/>
      <c r="CA66" s="72"/>
      <c r="CB66" s="72"/>
      <c r="CC66" s="72"/>
      <c r="CD66" s="72"/>
      <c r="CE66" s="72"/>
      <c r="CF66" s="72"/>
      <c r="CG66" s="72"/>
      <c r="CH66" s="87"/>
      <c r="CI66" s="72"/>
      <c r="CJ66" s="88"/>
      <c r="CK66" s="72"/>
      <c r="CL66" s="72"/>
      <c r="CM66" s="72"/>
      <c r="CN66" s="26"/>
      <c r="CO66" s="78"/>
      <c r="CP66" s="78"/>
      <c r="CQ66" s="78"/>
      <c r="CR66" s="78"/>
      <c r="CS66" s="75"/>
      <c r="CT66" s="75"/>
      <c r="CU66" s="84" t="b">
        <f>IF(CX57=34,31)</f>
        <v>0</v>
      </c>
      <c r="CV66" s="85"/>
      <c r="CW66" s="85"/>
      <c r="CX66" s="85"/>
      <c r="CY66" s="85"/>
      <c r="CZ66" s="85"/>
      <c r="DA66" s="86" t="b">
        <f>IF(CX57=34,37)</f>
        <v>0</v>
      </c>
      <c r="DB66" s="75"/>
      <c r="DC66" s="10"/>
      <c r="DD66" s="62"/>
    </row>
    <row r="67" spans="5:108" ht="24" hidden="1" thickBot="1" x14ac:dyDescent="0.3">
      <c r="E67" s="300"/>
      <c r="F67" s="300"/>
      <c r="G67" s="797"/>
      <c r="H67"/>
      <c r="I67"/>
      <c r="J67"/>
      <c r="K67"/>
      <c r="L67"/>
      <c r="M67"/>
      <c r="N67"/>
      <c r="O67" s="794"/>
      <c r="BN67" s="69"/>
      <c r="BO67" s="11"/>
      <c r="BP67" s="79">
        <v>33</v>
      </c>
      <c r="BQ67" s="80"/>
      <c r="BR67" s="80"/>
      <c r="BS67" s="80"/>
      <c r="BT67" s="80"/>
      <c r="BU67" s="80"/>
      <c r="BV67" s="80"/>
      <c r="BW67" s="80"/>
      <c r="BX67" s="80"/>
      <c r="BY67" s="77"/>
      <c r="BZ67" s="77"/>
      <c r="CA67" s="72"/>
      <c r="CB67" s="72"/>
      <c r="CC67" s="72"/>
      <c r="CD67" s="72"/>
      <c r="CE67" s="72"/>
      <c r="CF67" s="72"/>
      <c r="CG67" s="72"/>
      <c r="CH67" s="87"/>
      <c r="CI67" s="72"/>
      <c r="CJ67" s="88"/>
      <c r="CK67" s="72"/>
      <c r="CL67" s="72"/>
      <c r="CM67" s="72"/>
      <c r="CN67" s="26"/>
      <c r="CO67" s="78"/>
      <c r="CP67" s="78"/>
      <c r="CQ67" s="78"/>
      <c r="CR67" s="78"/>
      <c r="CS67" s="84" t="b">
        <f>IF(CW57=33,29)</f>
        <v>0</v>
      </c>
      <c r="CT67" s="85"/>
      <c r="CU67" s="85"/>
      <c r="CV67" s="85"/>
      <c r="CW67" s="85"/>
      <c r="CX67" s="85"/>
      <c r="CY67" s="85"/>
      <c r="CZ67" s="85"/>
      <c r="DA67" s="86" t="b">
        <f>IF(CW57=33,37)</f>
        <v>0</v>
      </c>
      <c r="DB67" s="75"/>
      <c r="DC67" s="10"/>
      <c r="DD67" s="62"/>
    </row>
    <row r="68" spans="5:108" ht="21" hidden="1" thickBot="1" x14ac:dyDescent="0.25">
      <c r="E68" s="300"/>
      <c r="F68" s="300"/>
      <c r="G68" s="797"/>
      <c r="H68"/>
      <c r="I68"/>
      <c r="J68"/>
      <c r="K68"/>
      <c r="L68"/>
      <c r="M68"/>
      <c r="N68"/>
      <c r="O68" s="794"/>
      <c r="BN68" s="69"/>
      <c r="BP68" s="79">
        <v>32</v>
      </c>
      <c r="BQ68" s="90"/>
      <c r="BR68" s="90"/>
      <c r="BS68" s="90"/>
      <c r="BT68" s="90"/>
      <c r="BU68" s="90"/>
      <c r="BV68" s="91"/>
      <c r="BW68" s="90"/>
      <c r="BX68" s="90"/>
      <c r="BY68" s="90"/>
      <c r="BZ68" s="90"/>
      <c r="CA68" s="90"/>
      <c r="CB68" s="90"/>
      <c r="CC68" s="90"/>
      <c r="CD68" s="90"/>
      <c r="CE68" s="90"/>
      <c r="CF68" s="90"/>
      <c r="CG68" s="90"/>
      <c r="CH68" s="92"/>
      <c r="CI68" s="90"/>
      <c r="CJ68" s="93"/>
      <c r="CK68" s="90"/>
      <c r="CL68" s="90"/>
      <c r="CM68" s="90"/>
      <c r="CN68" s="91"/>
      <c r="CO68" s="62"/>
      <c r="CP68" s="62"/>
      <c r="CQ68" s="84" t="b">
        <f>IF(CV57=32,27)</f>
        <v>0</v>
      </c>
      <c r="CR68" s="94"/>
      <c r="CS68" s="94"/>
      <c r="CT68" s="94"/>
      <c r="CU68" s="94"/>
      <c r="CV68" s="94"/>
      <c r="CW68" s="94"/>
      <c r="CX68" s="94"/>
      <c r="CY68" s="94"/>
      <c r="CZ68" s="94"/>
      <c r="DA68" s="86" t="b">
        <f>IF(CV57=32,37)</f>
        <v>0</v>
      </c>
      <c r="DB68" s="62"/>
      <c r="DC68" s="62"/>
      <c r="DD68" s="62"/>
    </row>
    <row r="69" spans="5:108" ht="21" hidden="1" thickBot="1" x14ac:dyDescent="0.25">
      <c r="E69" s="300"/>
      <c r="F69" s="300"/>
      <c r="G69" s="797"/>
      <c r="H69"/>
      <c r="I69"/>
      <c r="J69"/>
      <c r="K69"/>
      <c r="L69"/>
      <c r="M69"/>
      <c r="N69"/>
      <c r="O69" s="794"/>
      <c r="BN69" s="69"/>
      <c r="BP69" s="79">
        <v>31</v>
      </c>
      <c r="BQ69" s="90"/>
      <c r="BR69" s="90"/>
      <c r="BS69" s="90"/>
      <c r="BT69" s="90"/>
      <c r="BU69" s="90"/>
      <c r="BV69" s="91"/>
      <c r="BW69" s="90"/>
      <c r="BX69" s="90"/>
      <c r="BY69" s="90"/>
      <c r="BZ69" s="90"/>
      <c r="CA69" s="90"/>
      <c r="CB69" s="90"/>
      <c r="CC69" s="90"/>
      <c r="CD69" s="90"/>
      <c r="CE69" s="90"/>
      <c r="CF69" s="90"/>
      <c r="CG69" s="90"/>
      <c r="CH69" s="92"/>
      <c r="CI69" s="90"/>
      <c r="CJ69" s="93"/>
      <c r="CK69" s="90"/>
      <c r="CL69" s="90"/>
      <c r="CM69" s="90"/>
      <c r="CN69" s="91"/>
      <c r="CO69" s="84" t="b">
        <f>IF(CU57=31,25)</f>
        <v>0</v>
      </c>
      <c r="CP69" s="94"/>
      <c r="CQ69" s="94"/>
      <c r="CR69" s="94"/>
      <c r="CS69" s="94"/>
      <c r="CT69" s="94"/>
      <c r="CU69" s="94"/>
      <c r="CV69" s="94"/>
      <c r="CW69" s="94"/>
      <c r="CX69" s="94"/>
      <c r="CY69" s="94"/>
      <c r="CZ69" s="94"/>
      <c r="DA69" s="86" t="b">
        <f>IF(CU57=31,37)</f>
        <v>0</v>
      </c>
      <c r="DB69" s="62"/>
      <c r="DC69" s="62"/>
      <c r="DD69" s="62"/>
    </row>
    <row r="70" spans="5:108" ht="21" hidden="1" thickBot="1" x14ac:dyDescent="0.25">
      <c r="E70" s="300"/>
      <c r="F70" s="300"/>
      <c r="G70" s="797"/>
      <c r="H70"/>
      <c r="I70"/>
      <c r="J70"/>
      <c r="K70"/>
      <c r="L70"/>
      <c r="M70"/>
      <c r="N70"/>
      <c r="O70" s="794"/>
      <c r="BN70" s="69"/>
      <c r="BP70" s="79">
        <v>30</v>
      </c>
      <c r="BQ70" s="90"/>
      <c r="BR70" s="90"/>
      <c r="BS70" s="90"/>
      <c r="BT70" s="90"/>
      <c r="BU70" s="90"/>
      <c r="BV70" s="91"/>
      <c r="BW70" s="90"/>
      <c r="BX70" s="90"/>
      <c r="BY70" s="90"/>
      <c r="BZ70" s="90"/>
      <c r="CA70" s="90"/>
      <c r="CB70" s="90"/>
      <c r="CC70" s="90"/>
      <c r="CD70" s="90"/>
      <c r="CE70" s="90"/>
      <c r="CF70" s="90"/>
      <c r="CG70" s="90"/>
      <c r="CH70" s="92"/>
      <c r="CI70" s="90"/>
      <c r="CJ70" s="93"/>
      <c r="CK70" s="90"/>
      <c r="CL70" s="90"/>
      <c r="CM70" s="84" t="b">
        <f>IF(CT57=30,23)</f>
        <v>0</v>
      </c>
      <c r="CN70" s="95"/>
      <c r="CO70" s="94"/>
      <c r="CP70" s="94"/>
      <c r="CQ70" s="94"/>
      <c r="CR70" s="94"/>
      <c r="CS70" s="94"/>
      <c r="CT70" s="94"/>
      <c r="CU70" s="94"/>
      <c r="CV70" s="94"/>
      <c r="CW70" s="94"/>
      <c r="CX70" s="94"/>
      <c r="CY70" s="94"/>
      <c r="CZ70" s="94"/>
      <c r="DA70" s="86" t="b">
        <f>IF(CT57=30,37)</f>
        <v>0</v>
      </c>
      <c r="DB70" s="62"/>
      <c r="DC70" s="62"/>
      <c r="DD70" s="62"/>
    </row>
    <row r="71" spans="5:108" ht="21" hidden="1" thickBot="1" x14ac:dyDescent="0.25">
      <c r="E71" s="300"/>
      <c r="F71" s="300"/>
      <c r="G71" s="797"/>
      <c r="H71"/>
      <c r="I71"/>
      <c r="J71"/>
      <c r="K71"/>
      <c r="L71"/>
      <c r="M71"/>
      <c r="N71"/>
      <c r="O71" s="794"/>
      <c r="BE71" s="97"/>
      <c r="BF71" s="97"/>
      <c r="BG71" s="97"/>
      <c r="BH71" s="97"/>
      <c r="BN71" s="69"/>
      <c r="BO71" s="97"/>
      <c r="BP71" s="79">
        <v>29</v>
      </c>
      <c r="BQ71" s="62"/>
      <c r="BR71" s="62"/>
      <c r="BS71" s="62"/>
      <c r="BT71" s="62"/>
      <c r="BU71" s="62"/>
      <c r="BV71" s="62"/>
      <c r="BW71" s="62"/>
      <c r="BX71" s="62"/>
      <c r="BY71" s="62"/>
      <c r="BZ71" s="62"/>
      <c r="CA71" s="62"/>
      <c r="CB71" s="62"/>
      <c r="CC71" s="62"/>
      <c r="CD71" s="62"/>
      <c r="CE71" s="62"/>
      <c r="CF71" s="62"/>
      <c r="CG71" s="62"/>
      <c r="CH71" s="98"/>
      <c r="CI71" s="62"/>
      <c r="CJ71" s="99"/>
      <c r="CK71" s="100" t="b">
        <f>IF(CS57=29,21)</f>
        <v>0</v>
      </c>
      <c r="CL71" s="94"/>
      <c r="CM71" s="94"/>
      <c r="CN71" s="94"/>
      <c r="CO71" s="94"/>
      <c r="CP71" s="94"/>
      <c r="CQ71" s="94"/>
      <c r="CR71" s="101"/>
      <c r="CS71" s="94"/>
      <c r="CT71" s="101"/>
      <c r="CU71" s="102"/>
      <c r="CV71" s="102"/>
      <c r="CW71" s="102"/>
      <c r="CX71" s="102"/>
      <c r="CY71" s="102"/>
      <c r="CZ71" s="102"/>
      <c r="DA71" s="86" t="b">
        <f>IF(CS57=29,37)</f>
        <v>0</v>
      </c>
      <c r="DB71" s="60"/>
      <c r="DC71" s="62"/>
      <c r="DD71" s="62"/>
    </row>
    <row r="72" spans="5:108" ht="21" hidden="1" thickBot="1" x14ac:dyDescent="0.25">
      <c r="E72" s="300"/>
      <c r="F72" s="300"/>
      <c r="G72" s="797"/>
      <c r="H72"/>
      <c r="I72"/>
      <c r="J72"/>
      <c r="K72"/>
      <c r="L72"/>
      <c r="M72"/>
      <c r="N72"/>
      <c r="O72" s="794"/>
      <c r="BE72" s="97"/>
      <c r="BF72" s="97"/>
      <c r="BG72" s="97"/>
      <c r="BH72" s="97"/>
      <c r="BN72" s="69"/>
      <c r="BO72" s="97"/>
      <c r="BP72" s="79">
        <v>28</v>
      </c>
      <c r="BQ72" s="62"/>
      <c r="BR72" s="62"/>
      <c r="BS72" s="62"/>
      <c r="BT72" s="62"/>
      <c r="BU72" s="62"/>
      <c r="BV72" s="62"/>
      <c r="BW72" s="62"/>
      <c r="BX72" s="62"/>
      <c r="BY72" s="62"/>
      <c r="BZ72" s="62"/>
      <c r="CA72" s="62"/>
      <c r="CB72" s="62"/>
      <c r="CC72" s="62"/>
      <c r="CD72" s="62"/>
      <c r="CE72" s="62"/>
      <c r="CF72" s="62"/>
      <c r="CG72" s="62"/>
      <c r="CH72" s="98"/>
      <c r="CI72" s="62"/>
      <c r="CJ72" s="99"/>
      <c r="CK72" s="103" t="b">
        <f>IF(CR57=28,21)</f>
        <v>0</v>
      </c>
      <c r="CL72" s="104"/>
      <c r="CM72" s="104"/>
      <c r="CN72" s="104"/>
      <c r="CO72" s="104"/>
      <c r="CP72" s="105"/>
      <c r="CQ72" s="104"/>
      <c r="CR72" s="104"/>
      <c r="CS72" s="104"/>
      <c r="CT72" s="105"/>
      <c r="CU72" s="106"/>
      <c r="CV72" s="106"/>
      <c r="CW72" s="106"/>
      <c r="CX72" s="106"/>
      <c r="CY72" s="107" t="b">
        <f>IF(CR57=28,35)</f>
        <v>0</v>
      </c>
      <c r="CZ72" s="60"/>
      <c r="DA72" s="60"/>
      <c r="DB72" s="60"/>
      <c r="DC72" s="62"/>
      <c r="DD72" s="62"/>
    </row>
    <row r="73" spans="5:108" ht="21" hidden="1" thickBot="1" x14ac:dyDescent="0.25">
      <c r="E73" s="300"/>
      <c r="F73" s="300"/>
      <c r="G73" s="797"/>
      <c r="H73"/>
      <c r="I73"/>
      <c r="J73"/>
      <c r="K73"/>
      <c r="L73"/>
      <c r="M73"/>
      <c r="N73"/>
      <c r="O73" s="794"/>
      <c r="BE73" s="97"/>
      <c r="BF73" s="97"/>
      <c r="BG73" s="97"/>
      <c r="BH73" s="97"/>
      <c r="BN73" s="69"/>
      <c r="BO73" s="97"/>
      <c r="BP73" s="79">
        <v>27</v>
      </c>
      <c r="BQ73" s="62"/>
      <c r="BR73" s="62"/>
      <c r="BS73" s="62"/>
      <c r="BT73" s="62"/>
      <c r="BU73" s="62"/>
      <c r="BV73" s="62"/>
      <c r="BW73" s="62"/>
      <c r="BX73" s="62"/>
      <c r="BY73" s="62"/>
      <c r="BZ73" s="62"/>
      <c r="CA73" s="62"/>
      <c r="CB73" s="62"/>
      <c r="CC73" s="62"/>
      <c r="CD73" s="62"/>
      <c r="CE73" s="62"/>
      <c r="CF73" s="62"/>
      <c r="CG73" s="62"/>
      <c r="CH73" s="98"/>
      <c r="CI73" s="62"/>
      <c r="CJ73" s="99"/>
      <c r="CK73" s="103" t="b">
        <f>IF(CQ57=27,21)</f>
        <v>0</v>
      </c>
      <c r="CL73" s="104"/>
      <c r="CM73" s="104"/>
      <c r="CN73" s="105"/>
      <c r="CO73" s="104"/>
      <c r="CP73" s="104"/>
      <c r="CQ73" s="104"/>
      <c r="CR73" s="104"/>
      <c r="CS73" s="104"/>
      <c r="CT73" s="105"/>
      <c r="CU73" s="106"/>
      <c r="CV73" s="106"/>
      <c r="CW73" s="107" t="b">
        <f>IF(CQ57=27,33)</f>
        <v>0</v>
      </c>
      <c r="CX73" s="60"/>
      <c r="CY73" s="60"/>
      <c r="CZ73" s="60"/>
      <c r="DA73" s="60"/>
      <c r="DB73" s="60"/>
      <c r="DC73" s="62"/>
      <c r="DD73" s="62"/>
    </row>
    <row r="74" spans="5:108" ht="21" hidden="1" thickBot="1" x14ac:dyDescent="0.25">
      <c r="E74" s="300"/>
      <c r="F74" s="300"/>
      <c r="G74" s="797"/>
      <c r="H74"/>
      <c r="I74"/>
      <c r="J74"/>
      <c r="K74"/>
      <c r="L74"/>
      <c r="M74"/>
      <c r="N74"/>
      <c r="O74" s="794"/>
      <c r="BN74" s="69"/>
      <c r="BP74" s="79">
        <v>26</v>
      </c>
      <c r="BQ74" s="62"/>
      <c r="BR74" s="62"/>
      <c r="BS74" s="62"/>
      <c r="BT74" s="62"/>
      <c r="BU74" s="62"/>
      <c r="BV74" s="62"/>
      <c r="BW74" s="62"/>
      <c r="BX74" s="62"/>
      <c r="BY74" s="62"/>
      <c r="BZ74" s="62"/>
      <c r="CA74" s="62"/>
      <c r="CB74" s="62"/>
      <c r="CC74" s="62"/>
      <c r="CD74" s="62"/>
      <c r="CE74" s="62"/>
      <c r="CF74" s="62"/>
      <c r="CG74" s="62"/>
      <c r="CH74" s="98"/>
      <c r="CI74" s="62"/>
      <c r="CJ74" s="99"/>
      <c r="CK74" s="103" t="b">
        <f>IF(CP57=26,21)</f>
        <v>0</v>
      </c>
      <c r="CL74" s="105"/>
      <c r="CM74" s="104"/>
      <c r="CN74" s="104"/>
      <c r="CO74" s="104"/>
      <c r="CP74" s="104"/>
      <c r="CQ74" s="104"/>
      <c r="CR74" s="104"/>
      <c r="CS74" s="104"/>
      <c r="CT74" s="105"/>
      <c r="CU74" s="107" t="b">
        <f>IF(CP57=26,31)</f>
        <v>0</v>
      </c>
      <c r="CV74" s="60"/>
      <c r="CW74" s="60"/>
      <c r="CX74" s="60"/>
      <c r="CY74" s="60"/>
      <c r="CZ74" s="60"/>
      <c r="DA74" s="60"/>
      <c r="DB74" s="60"/>
      <c r="DC74" s="62"/>
      <c r="DD74" s="62"/>
    </row>
    <row r="75" spans="5:108" ht="21" hidden="1" thickBot="1" x14ac:dyDescent="0.25">
      <c r="E75" s="300"/>
      <c r="F75" s="300"/>
      <c r="G75" s="797"/>
      <c r="H75"/>
      <c r="I75"/>
      <c r="J75"/>
      <c r="K75"/>
      <c r="L75"/>
      <c r="M75"/>
      <c r="N75"/>
      <c r="O75" s="794"/>
      <c r="BE75" s="109"/>
      <c r="BF75" s="109"/>
      <c r="BG75" s="109"/>
      <c r="BH75" s="109"/>
      <c r="BN75" s="69"/>
      <c r="BO75" s="109"/>
      <c r="BP75" s="79">
        <v>25</v>
      </c>
      <c r="BQ75" s="62"/>
      <c r="BR75" s="62"/>
      <c r="BS75" s="62"/>
      <c r="BT75" s="62"/>
      <c r="BU75" s="62"/>
      <c r="BV75" s="62"/>
      <c r="BW75" s="62"/>
      <c r="BX75" s="62"/>
      <c r="BY75" s="62"/>
      <c r="BZ75" s="62"/>
      <c r="CA75" s="62"/>
      <c r="CC75" s="62"/>
      <c r="CD75" s="62"/>
      <c r="CE75" s="62"/>
      <c r="CF75" s="62"/>
      <c r="CG75" s="62"/>
      <c r="CH75" s="98"/>
      <c r="CI75" s="62"/>
      <c r="CK75" s="111" t="b">
        <f>IF(CO57=25,21)</f>
        <v>0</v>
      </c>
      <c r="CL75" s="104"/>
      <c r="CM75" s="104"/>
      <c r="CN75" s="104"/>
      <c r="CO75" s="104"/>
      <c r="CP75" s="104"/>
      <c r="CQ75" s="104"/>
      <c r="CR75" s="104"/>
      <c r="CS75" s="107" t="b">
        <f>IF(CO57=25,29)</f>
        <v>0</v>
      </c>
      <c r="CU75" s="60"/>
      <c r="CV75" s="60"/>
      <c r="CW75" s="60"/>
      <c r="CX75" s="60"/>
      <c r="CY75" s="60"/>
      <c r="CZ75" s="60"/>
      <c r="DA75" s="60"/>
      <c r="DB75" s="60"/>
      <c r="DC75" s="62"/>
      <c r="DD75" s="62"/>
    </row>
    <row r="76" spans="5:108" ht="21" hidden="1" thickBot="1" x14ac:dyDescent="0.25">
      <c r="E76" s="300"/>
      <c r="F76" s="300"/>
      <c r="G76" s="797"/>
      <c r="H76"/>
      <c r="I76"/>
      <c r="J76"/>
      <c r="K76"/>
      <c r="L76"/>
      <c r="M76"/>
      <c r="N76"/>
      <c r="O76" s="794"/>
      <c r="BE76" s="109"/>
      <c r="BF76" s="109"/>
      <c r="BG76" s="109"/>
      <c r="BH76" s="109"/>
      <c r="BN76" s="69"/>
      <c r="BO76" s="109"/>
      <c r="BP76" s="79">
        <v>24</v>
      </c>
      <c r="BQ76" s="62"/>
      <c r="BR76" s="62"/>
      <c r="BS76" s="62"/>
      <c r="BT76" s="62"/>
      <c r="BU76" s="62"/>
      <c r="BV76" s="62"/>
      <c r="BW76" s="62"/>
      <c r="BX76" s="62"/>
      <c r="BY76" s="62"/>
      <c r="BZ76" s="62"/>
      <c r="CA76" s="62"/>
      <c r="CB76" s="100" t="b">
        <f>IF(CN57=24,12)</f>
        <v>0</v>
      </c>
      <c r="CC76" s="94"/>
      <c r="CD76" s="94"/>
      <c r="CE76" s="94"/>
      <c r="CF76" s="94"/>
      <c r="CG76" s="94"/>
      <c r="CH76" s="101"/>
      <c r="CI76" s="94"/>
      <c r="CJ76" s="112"/>
      <c r="CK76" s="94"/>
      <c r="CL76" s="94"/>
      <c r="CM76" s="94"/>
      <c r="CN76" s="94"/>
      <c r="CO76" s="94"/>
      <c r="CP76" s="94"/>
      <c r="CQ76" s="94"/>
      <c r="CR76" s="94"/>
      <c r="CS76" s="94"/>
      <c r="CT76" s="101"/>
      <c r="CU76" s="102"/>
      <c r="CV76" s="102"/>
      <c r="CW76" s="102"/>
      <c r="CX76" s="102"/>
      <c r="CY76" s="102"/>
      <c r="CZ76" s="86" t="b">
        <f>IF(CN57=24,36)</f>
        <v>0</v>
      </c>
      <c r="DA76" s="60"/>
      <c r="DB76" s="60"/>
      <c r="DC76" s="62"/>
      <c r="DD76" s="62"/>
    </row>
    <row r="77" spans="5:108" ht="21" hidden="1" thickBot="1" x14ac:dyDescent="0.25">
      <c r="E77" s="300"/>
      <c r="F77" s="300"/>
      <c r="G77" s="797"/>
      <c r="H77"/>
      <c r="I77"/>
      <c r="J77"/>
      <c r="K77"/>
      <c r="L77"/>
      <c r="M77"/>
      <c r="N77"/>
      <c r="O77" s="794"/>
      <c r="BE77" s="109"/>
      <c r="BF77" s="109"/>
      <c r="BG77" s="109"/>
      <c r="BH77" s="109"/>
      <c r="BN77" s="69"/>
      <c r="BO77" s="109"/>
      <c r="BP77" s="79">
        <v>23</v>
      </c>
      <c r="BQ77" s="62"/>
      <c r="BR77" s="62"/>
      <c r="BS77" s="62"/>
      <c r="BT77" s="62"/>
      <c r="BU77" s="62"/>
      <c r="BV77" s="62"/>
      <c r="BW77" s="62"/>
      <c r="BX77" s="62"/>
      <c r="BY77" s="62"/>
      <c r="BZ77" s="62"/>
      <c r="CA77" s="62"/>
      <c r="CB77" s="103" t="b">
        <f>IF(CM57=23,12)</f>
        <v>0</v>
      </c>
      <c r="CC77" s="104"/>
      <c r="CD77" s="104"/>
      <c r="CE77" s="104"/>
      <c r="CF77" s="105"/>
      <c r="CG77" s="104"/>
      <c r="CH77" s="115"/>
      <c r="CI77" s="104"/>
      <c r="CJ77" s="116"/>
      <c r="CK77" s="104"/>
      <c r="CL77" s="104"/>
      <c r="CM77" s="104"/>
      <c r="CN77" s="104"/>
      <c r="CO77" s="104"/>
      <c r="CP77" s="104"/>
      <c r="CQ77" s="104"/>
      <c r="CR77" s="104"/>
      <c r="CS77" s="104"/>
      <c r="CT77" s="105"/>
      <c r="CU77" s="106"/>
      <c r="CV77" s="106"/>
      <c r="CW77" s="106"/>
      <c r="CX77" s="107" t="b">
        <f>IF(CM57=23,34)</f>
        <v>0</v>
      </c>
      <c r="CY77" s="60"/>
      <c r="CZ77" s="60"/>
      <c r="DA77" s="60"/>
      <c r="DB77" s="60"/>
      <c r="DC77" s="62"/>
      <c r="DD77" s="62"/>
    </row>
    <row r="78" spans="5:108" ht="21" hidden="1" thickBot="1" x14ac:dyDescent="0.25">
      <c r="E78" s="300"/>
      <c r="F78" s="300"/>
      <c r="G78" s="797"/>
      <c r="H78"/>
      <c r="I78"/>
      <c r="J78"/>
      <c r="K78"/>
      <c r="L78"/>
      <c r="M78"/>
      <c r="N78"/>
      <c r="O78" s="794"/>
      <c r="U78" s="97"/>
      <c r="AB78" s="97"/>
      <c r="AC78" s="97"/>
      <c r="AD78" s="97"/>
      <c r="AE78" s="97"/>
      <c r="BE78" s="109"/>
      <c r="BF78" s="109"/>
      <c r="BG78" s="109"/>
      <c r="BH78" s="109"/>
      <c r="BN78" s="69"/>
      <c r="BO78" s="109"/>
      <c r="BP78" s="79">
        <v>22</v>
      </c>
      <c r="BQ78" s="60"/>
      <c r="BR78" s="60"/>
      <c r="BS78" s="60"/>
      <c r="BT78" s="60"/>
      <c r="BU78" s="60"/>
      <c r="BV78" s="60"/>
      <c r="BW78" s="60"/>
      <c r="BX78" s="60"/>
      <c r="BY78" s="60"/>
      <c r="BZ78" s="60"/>
      <c r="CA78" s="60"/>
      <c r="CB78" s="103" t="b">
        <f>IF(CL57=22,12)</f>
        <v>0</v>
      </c>
      <c r="CC78" s="106"/>
      <c r="CD78" s="106"/>
      <c r="CE78" s="106"/>
      <c r="CF78" s="105"/>
      <c r="CG78" s="106"/>
      <c r="CH78" s="117"/>
      <c r="CI78" s="106"/>
      <c r="CJ78" s="118"/>
      <c r="CK78" s="106"/>
      <c r="CL78" s="106"/>
      <c r="CM78" s="106"/>
      <c r="CN78" s="106"/>
      <c r="CO78" s="104"/>
      <c r="CP78" s="104"/>
      <c r="CQ78" s="105"/>
      <c r="CR78" s="104"/>
      <c r="CS78" s="104"/>
      <c r="CT78" s="104"/>
      <c r="CU78" s="104"/>
      <c r="CV78" s="107" t="b">
        <f>IF(CL57=22,32)</f>
        <v>0</v>
      </c>
      <c r="CW78" s="62"/>
      <c r="CX78" s="62"/>
      <c r="CY78" s="62"/>
      <c r="CZ78" s="62"/>
      <c r="DA78" s="62"/>
      <c r="DB78" s="62"/>
      <c r="DC78" s="62"/>
      <c r="DD78" s="62"/>
    </row>
    <row r="79" spans="5:108" ht="21" hidden="1" thickBot="1" x14ac:dyDescent="0.25">
      <c r="E79" s="300"/>
      <c r="F79" s="300"/>
      <c r="G79" s="807"/>
      <c r="H79"/>
      <c r="I79"/>
      <c r="J79"/>
      <c r="K79"/>
      <c r="L79"/>
      <c r="M79"/>
      <c r="N79"/>
      <c r="O79" s="794"/>
      <c r="BE79" s="109"/>
      <c r="BF79" s="109"/>
      <c r="BG79" s="109"/>
      <c r="BH79" s="109"/>
      <c r="BN79" s="69"/>
      <c r="BO79" s="109"/>
      <c r="BP79" s="79">
        <v>21</v>
      </c>
      <c r="BQ79" s="62"/>
      <c r="BR79" s="62"/>
      <c r="BS79" s="62"/>
      <c r="BT79" s="62"/>
      <c r="BU79" s="62"/>
      <c r="BV79" s="62"/>
      <c r="BW79" s="62"/>
      <c r="BX79" s="62"/>
      <c r="BY79" s="62"/>
      <c r="BZ79" s="62"/>
      <c r="CA79" s="62"/>
      <c r="CB79" s="103" t="b">
        <f>IF(CK57=21,12)</f>
        <v>0</v>
      </c>
      <c r="CC79" s="104"/>
      <c r="CD79" s="104"/>
      <c r="CE79" s="104"/>
      <c r="CF79" s="104"/>
      <c r="CG79" s="104"/>
      <c r="CH79" s="115"/>
      <c r="CI79" s="104"/>
      <c r="CJ79" s="116"/>
      <c r="CK79" s="104"/>
      <c r="CL79" s="104"/>
      <c r="CM79" s="104"/>
      <c r="CN79" s="104"/>
      <c r="CO79" s="104"/>
      <c r="CP79" s="104"/>
      <c r="CQ79" s="104"/>
      <c r="CR79" s="104"/>
      <c r="CS79" s="104"/>
      <c r="CT79" s="107" t="b">
        <f>IF(CK57=21,30)</f>
        <v>0</v>
      </c>
      <c r="CU79" s="60"/>
      <c r="CV79" s="60"/>
      <c r="CW79" s="60"/>
      <c r="CX79" s="60"/>
      <c r="CY79" s="60"/>
      <c r="CZ79" s="60"/>
      <c r="DA79" s="60"/>
      <c r="DB79" s="60"/>
      <c r="DC79" s="62"/>
      <c r="DD79" s="62"/>
    </row>
    <row r="80" spans="5:108" ht="21" hidden="1" thickBot="1" x14ac:dyDescent="0.25">
      <c r="E80" s="300"/>
      <c r="F80" s="300"/>
      <c r="G80" s="797"/>
      <c r="H80"/>
      <c r="I80"/>
      <c r="J80"/>
      <c r="K80"/>
      <c r="L80"/>
      <c r="M80"/>
      <c r="N80"/>
      <c r="O80" s="794"/>
      <c r="T80" s="304"/>
      <c r="BE80" s="119"/>
      <c r="BF80" s="119"/>
      <c r="BG80" s="119"/>
      <c r="BH80" s="119"/>
      <c r="BN80" s="69"/>
      <c r="BO80" s="863"/>
      <c r="BP80" s="79">
        <v>20</v>
      </c>
      <c r="BQ80" s="62"/>
      <c r="BR80" s="62"/>
      <c r="BS80" s="62"/>
      <c r="BT80" s="62"/>
      <c r="BU80" s="62"/>
      <c r="BV80" s="62"/>
      <c r="BW80" s="62"/>
      <c r="BX80" s="62"/>
      <c r="CA80" s="120"/>
      <c r="CB80" s="100" t="b">
        <f>IF(CJ57=20,12)</f>
        <v>0</v>
      </c>
      <c r="CC80" s="94"/>
      <c r="CD80" s="94"/>
      <c r="CE80" s="94"/>
      <c r="CF80" s="94"/>
      <c r="CG80" s="94"/>
      <c r="CH80" s="121"/>
      <c r="CI80" s="94"/>
      <c r="CJ80" s="112"/>
      <c r="CK80" s="94"/>
      <c r="CL80" s="94"/>
      <c r="CM80" s="94"/>
      <c r="CN80" s="94"/>
      <c r="CO80" s="94"/>
      <c r="CP80" s="94"/>
      <c r="CQ80" s="94"/>
      <c r="CR80" s="86" t="b">
        <f>IF(CJ57=20,28)</f>
        <v>0</v>
      </c>
      <c r="CS80" s="120"/>
      <c r="CU80" s="60"/>
      <c r="CV80" s="60"/>
      <c r="CW80" s="60"/>
      <c r="CX80" s="60"/>
      <c r="CY80" s="60"/>
      <c r="CZ80" s="60"/>
      <c r="DA80" s="60"/>
      <c r="DB80" s="60"/>
      <c r="DC80" s="62"/>
      <c r="DD80" s="62"/>
    </row>
    <row r="81" spans="2:108" ht="21" hidden="1" thickBot="1" x14ac:dyDescent="0.25">
      <c r="E81" s="300"/>
      <c r="F81" s="300"/>
      <c r="G81" s="797"/>
      <c r="H81"/>
      <c r="I81"/>
      <c r="J81"/>
      <c r="K81"/>
      <c r="L81"/>
      <c r="M81"/>
      <c r="N81"/>
      <c r="O81" s="794"/>
      <c r="U81" s="97"/>
      <c r="AB81" s="97"/>
      <c r="AC81" s="97"/>
      <c r="AD81" s="97"/>
      <c r="AE81" s="97"/>
      <c r="BE81" s="119"/>
      <c r="BF81" s="119"/>
      <c r="BG81" s="119"/>
      <c r="BH81" s="119"/>
      <c r="BN81" s="69"/>
      <c r="BO81" s="863"/>
      <c r="BP81" s="79">
        <v>19</v>
      </c>
      <c r="BQ81" s="62"/>
      <c r="BR81" s="62"/>
      <c r="BS81" s="62"/>
      <c r="BT81" s="62"/>
      <c r="BU81" s="62"/>
      <c r="BV81" s="62"/>
      <c r="BW81" s="62"/>
      <c r="BX81" s="62"/>
      <c r="BZ81" s="122"/>
      <c r="CA81" s="122"/>
      <c r="CB81" s="100" t="b">
        <f>IF(CI57=19,12)</f>
        <v>0</v>
      </c>
      <c r="CC81" s="102"/>
      <c r="CD81" s="102"/>
      <c r="CE81" s="101"/>
      <c r="CF81" s="102"/>
      <c r="CG81" s="102"/>
      <c r="CH81" s="123"/>
      <c r="CI81" s="102"/>
      <c r="CJ81" s="124"/>
      <c r="CK81" s="101"/>
      <c r="CL81" s="102"/>
      <c r="CM81" s="102"/>
      <c r="CN81" s="102"/>
      <c r="CO81" s="94"/>
      <c r="CP81" s="86" t="b">
        <f>IF(CI57=19,26)</f>
        <v>0</v>
      </c>
      <c r="CQ81" s="125"/>
      <c r="CR81" s="120"/>
      <c r="CT81" s="62"/>
      <c r="CU81" s="62"/>
      <c r="CV81" s="62"/>
      <c r="CW81" s="62"/>
      <c r="CX81" s="62"/>
      <c r="CY81" s="62"/>
      <c r="CZ81" s="62"/>
      <c r="DA81" s="62"/>
      <c r="DB81" s="62"/>
      <c r="DC81" s="62"/>
      <c r="DD81" s="62"/>
    </row>
    <row r="82" spans="2:108" ht="21" hidden="1" thickBot="1" x14ac:dyDescent="0.25">
      <c r="E82" s="300"/>
      <c r="F82" s="300"/>
      <c r="G82" s="797"/>
      <c r="H82"/>
      <c r="I82"/>
      <c r="J82"/>
      <c r="K82"/>
      <c r="L82"/>
      <c r="M82"/>
      <c r="N82"/>
      <c r="O82" s="794"/>
      <c r="U82" s="97"/>
      <c r="AB82" s="97"/>
      <c r="AC82" s="97"/>
      <c r="AD82" s="97"/>
      <c r="AE82" s="97"/>
      <c r="BE82" s="119"/>
      <c r="BF82" s="119"/>
      <c r="BG82" s="119"/>
      <c r="BH82" s="119"/>
      <c r="BN82" s="69"/>
      <c r="BO82" s="863"/>
      <c r="BP82" s="79">
        <v>18</v>
      </c>
      <c r="BQ82" s="60"/>
      <c r="BR82" s="60"/>
      <c r="BS82" s="60"/>
      <c r="BT82" s="60"/>
      <c r="BU82" s="60"/>
      <c r="BV82" s="60"/>
      <c r="BW82" s="60"/>
      <c r="BX82" s="60"/>
      <c r="BZ82" s="100" t="b">
        <f>IF(CH57=18,10)</f>
        <v>0</v>
      </c>
      <c r="CA82" s="102"/>
      <c r="CB82" s="102"/>
      <c r="CC82" s="102"/>
      <c r="CD82" s="102"/>
      <c r="CE82" s="101"/>
      <c r="CF82" s="102"/>
      <c r="CG82" s="102"/>
      <c r="CH82" s="123"/>
      <c r="CI82" s="102"/>
      <c r="CJ82" s="124"/>
      <c r="CK82" s="101"/>
      <c r="CL82" s="102"/>
      <c r="CM82" s="102"/>
      <c r="CN82" s="102"/>
      <c r="CO82" s="94"/>
      <c r="CP82" s="86" t="b">
        <f>IF(CH57=18,26)</f>
        <v>0</v>
      </c>
      <c r="CR82" s="62"/>
      <c r="CS82" s="62"/>
      <c r="CT82" s="62"/>
      <c r="CU82" s="62"/>
      <c r="CV82" s="62"/>
      <c r="CW82" s="62"/>
      <c r="CX82" s="62"/>
      <c r="CY82" s="62"/>
      <c r="CZ82" s="62"/>
      <c r="DA82" s="62"/>
      <c r="DB82" s="62"/>
      <c r="DC82" s="62"/>
      <c r="DD82" s="62"/>
    </row>
    <row r="83" spans="2:108" ht="21" hidden="1" thickBot="1" x14ac:dyDescent="0.25">
      <c r="E83" s="300"/>
      <c r="F83" s="300"/>
      <c r="G83" s="797"/>
      <c r="H83"/>
      <c r="I83"/>
      <c r="J83"/>
      <c r="K83" s="787">
        <v>5</v>
      </c>
      <c r="L83"/>
      <c r="M83" s="787">
        <v>51</v>
      </c>
      <c r="N83"/>
      <c r="O83" s="794"/>
      <c r="U83" s="97"/>
      <c r="AB83" s="97"/>
      <c r="AC83" s="97"/>
      <c r="AD83" s="97"/>
      <c r="AE83" s="97"/>
      <c r="BE83" s="119"/>
      <c r="BF83" s="119"/>
      <c r="BG83" s="119"/>
      <c r="BH83" s="119"/>
      <c r="BN83" s="69"/>
      <c r="BO83" s="863"/>
      <c r="BP83" s="79">
        <v>17</v>
      </c>
      <c r="BQ83" s="60"/>
      <c r="BR83" s="60"/>
      <c r="BS83" s="60"/>
      <c r="BT83" s="60"/>
      <c r="BU83" s="60"/>
      <c r="BV83" s="60"/>
      <c r="BW83" s="60"/>
      <c r="BX83" s="100">
        <f>IF(CG57=17,8)</f>
        <v>8</v>
      </c>
      <c r="BY83" s="101"/>
      <c r="BZ83" s="101"/>
      <c r="CA83" s="102"/>
      <c r="CB83" s="102"/>
      <c r="CC83" s="102"/>
      <c r="CD83" s="102"/>
      <c r="CE83" s="102"/>
      <c r="CF83" s="102"/>
      <c r="CG83" s="102"/>
      <c r="CH83" s="123"/>
      <c r="CI83" s="102"/>
      <c r="CJ83" s="124"/>
      <c r="CK83" s="102"/>
      <c r="CL83" s="102"/>
      <c r="CM83" s="102"/>
      <c r="CN83" s="101"/>
      <c r="CO83" s="101"/>
      <c r="CP83" s="86">
        <f>IF(CG57=17,26)</f>
        <v>26</v>
      </c>
      <c r="CQ83" s="62"/>
      <c r="CR83" s="62"/>
      <c r="CS83" s="62"/>
      <c r="CT83" s="62"/>
      <c r="CU83" s="62"/>
      <c r="CV83" s="62"/>
      <c r="CW83" s="62"/>
      <c r="CX83" s="62"/>
      <c r="CY83" s="62"/>
      <c r="CZ83" s="62"/>
      <c r="DA83" s="62"/>
      <c r="DB83" s="62"/>
      <c r="DC83" s="62"/>
      <c r="DD83" s="62"/>
    </row>
    <row r="84" spans="2:108" ht="169" hidden="1" thickBot="1" x14ac:dyDescent="0.25">
      <c r="E84" s="300"/>
      <c r="F84" s="300"/>
      <c r="G84" s="797"/>
      <c r="H84"/>
      <c r="I84"/>
      <c r="J84"/>
      <c r="K84" s="768" t="s">
        <v>181</v>
      </c>
      <c r="L84" s="768" t="s">
        <v>183</v>
      </c>
      <c r="M84" s="768" t="s">
        <v>182</v>
      </c>
      <c r="N84"/>
      <c r="O84" s="794"/>
      <c r="U84" s="97"/>
      <c r="AB84" s="97"/>
      <c r="AC84" s="97"/>
      <c r="AD84" s="97"/>
      <c r="AE84" s="97"/>
      <c r="BE84" s="119"/>
      <c r="BF84" s="119"/>
      <c r="BG84" s="119"/>
      <c r="BH84" s="119"/>
      <c r="BN84" s="69"/>
      <c r="BO84" s="863"/>
      <c r="BP84" s="79">
        <v>16</v>
      </c>
      <c r="BQ84" s="60"/>
      <c r="BR84" s="60"/>
      <c r="BS84" s="60"/>
      <c r="BT84" s="60"/>
      <c r="BU84" s="60"/>
      <c r="BV84" s="128" t="b">
        <f>IF(CF57=16,6)</f>
        <v>0</v>
      </c>
      <c r="BW84" s="129"/>
      <c r="BX84" s="130"/>
      <c r="BY84" s="130"/>
      <c r="BZ84" s="129"/>
      <c r="CA84" s="129"/>
      <c r="CB84" s="129"/>
      <c r="CC84" s="129"/>
      <c r="CD84" s="129"/>
      <c r="CE84" s="129"/>
      <c r="CF84" s="129"/>
      <c r="CG84" s="129"/>
      <c r="CH84" s="131"/>
      <c r="CI84" s="129"/>
      <c r="CJ84" s="132"/>
      <c r="CK84" s="129"/>
      <c r="CL84" s="129"/>
      <c r="CM84" s="130"/>
      <c r="CN84" s="130"/>
      <c r="CO84" s="133"/>
      <c r="CP84" s="134" t="b">
        <f>IF(CF57=16,26)</f>
        <v>0</v>
      </c>
      <c r="CQ84" s="62"/>
      <c r="CR84" s="62"/>
      <c r="CS84" s="62"/>
      <c r="CT84" s="62"/>
      <c r="CU84" s="62"/>
      <c r="CV84" s="62"/>
      <c r="CW84" s="62"/>
      <c r="CX84" s="62"/>
      <c r="CY84" s="62"/>
      <c r="CZ84" s="62"/>
      <c r="DA84" s="62"/>
      <c r="DB84" s="62"/>
      <c r="DC84" s="62"/>
      <c r="DD84" s="62"/>
    </row>
    <row r="85" spans="2:108" ht="265" hidden="1" thickBot="1" x14ac:dyDescent="0.3">
      <c r="E85" s="300"/>
      <c r="F85" s="300"/>
      <c r="G85" s="797"/>
      <c r="H85"/>
      <c r="I85"/>
      <c r="J85" s="840" t="s">
        <v>205</v>
      </c>
      <c r="K85" s="828">
        <f>+MIN(J19:K20)</f>
        <v>30.935808197989171</v>
      </c>
      <c r="L85" s="827">
        <f>+$E$20/(BQ25)</f>
        <v>30.935808197989171</v>
      </c>
      <c r="M85" s="827">
        <f>+MIN(K25:L26)</f>
        <v>30.935808197989171</v>
      </c>
      <c r="N85"/>
      <c r="O85" s="794"/>
      <c r="U85" s="97"/>
      <c r="AB85" s="97"/>
      <c r="AC85" s="97"/>
      <c r="AD85" s="97"/>
      <c r="AE85" s="97"/>
      <c r="BE85" s="119"/>
      <c r="BF85" s="119"/>
      <c r="BG85" s="119"/>
      <c r="BH85" s="119"/>
      <c r="BN85" s="69"/>
      <c r="BO85" s="863"/>
      <c r="BP85" s="79">
        <v>15</v>
      </c>
      <c r="BQ85" s="60"/>
      <c r="BR85" s="60"/>
      <c r="BS85" s="60"/>
      <c r="BT85" s="100" t="b">
        <f>IF(CE57=15,4)</f>
        <v>0</v>
      </c>
      <c r="BU85" s="102"/>
      <c r="BV85" s="102"/>
      <c r="BW85" s="102"/>
      <c r="BX85" s="101"/>
      <c r="BY85" s="102"/>
      <c r="BZ85" s="102"/>
      <c r="CA85" s="101"/>
      <c r="CB85" s="102"/>
      <c r="CC85" s="102"/>
      <c r="CD85" s="102"/>
      <c r="CE85" s="102"/>
      <c r="CF85" s="102"/>
      <c r="CG85" s="102"/>
      <c r="CH85" s="123"/>
      <c r="CI85" s="101"/>
      <c r="CJ85" s="124"/>
      <c r="CK85" s="102"/>
      <c r="CL85" s="101"/>
      <c r="CM85" s="102"/>
      <c r="CN85" s="102"/>
      <c r="CO85" s="94"/>
      <c r="CP85" s="86" t="b">
        <f>IF(CE57=15,26)</f>
        <v>0</v>
      </c>
      <c r="CQ85" s="62"/>
      <c r="CR85" s="62"/>
      <c r="CS85" s="62"/>
      <c r="CT85" s="62"/>
      <c r="CU85" s="62"/>
      <c r="CV85" s="62"/>
      <c r="CW85" s="62"/>
      <c r="CX85" s="62"/>
      <c r="CY85" s="62"/>
      <c r="CZ85" s="62"/>
      <c r="DA85" s="62"/>
      <c r="DB85" s="62"/>
      <c r="DC85" s="62"/>
      <c r="DD85" s="62"/>
    </row>
    <row r="86" spans="2:108" ht="21" hidden="1" thickBot="1" x14ac:dyDescent="0.25">
      <c r="E86" s="300"/>
      <c r="F86" s="300"/>
      <c r="G86" s="797"/>
      <c r="H86"/>
      <c r="I86" s="783">
        <v>6</v>
      </c>
      <c r="J86" s="783">
        <v>61</v>
      </c>
      <c r="K86" s="783">
        <v>62</v>
      </c>
      <c r="L86" s="783">
        <v>63</v>
      </c>
      <c r="M86" s="787">
        <v>64</v>
      </c>
      <c r="N86"/>
      <c r="O86" s="794"/>
      <c r="U86" s="97"/>
      <c r="AB86" s="97"/>
      <c r="AC86" s="97"/>
      <c r="AD86" s="97"/>
      <c r="AE86" s="97"/>
      <c r="BE86" s="119"/>
      <c r="BF86" s="119"/>
      <c r="BG86" s="119"/>
      <c r="BH86" s="119"/>
      <c r="BN86" s="69"/>
      <c r="BO86" s="863"/>
      <c r="BP86" s="79">
        <v>14</v>
      </c>
      <c r="BQ86" s="60"/>
      <c r="BR86" s="100" t="b">
        <f>IF(CD57=14,2)</f>
        <v>0</v>
      </c>
      <c r="BS86" s="102"/>
      <c r="BT86" s="102"/>
      <c r="BU86" s="102"/>
      <c r="BV86" s="101"/>
      <c r="BW86" s="102"/>
      <c r="BX86" s="102"/>
      <c r="BY86" s="101"/>
      <c r="BZ86" s="102"/>
      <c r="CA86" s="102"/>
      <c r="CB86" s="102"/>
      <c r="CC86" s="102"/>
      <c r="CD86" s="102"/>
      <c r="CE86" s="102"/>
      <c r="CF86" s="102"/>
      <c r="CG86" s="102"/>
      <c r="CH86" s="123"/>
      <c r="CI86" s="101"/>
      <c r="CJ86" s="124"/>
      <c r="CK86" s="102"/>
      <c r="CL86" s="101"/>
      <c r="CM86" s="102"/>
      <c r="CN86" s="102"/>
      <c r="CO86" s="94"/>
      <c r="CP86" s="86" t="b">
        <f>IF(CD57=14,26)</f>
        <v>0</v>
      </c>
      <c r="CQ86" s="62"/>
      <c r="CR86" s="62"/>
      <c r="CS86" s="62"/>
      <c r="CT86" s="62"/>
      <c r="CU86" s="62"/>
      <c r="CV86" s="62"/>
      <c r="CW86" s="62"/>
      <c r="CX86" s="62"/>
      <c r="CY86" s="62"/>
      <c r="CZ86" s="62"/>
      <c r="DA86" s="62"/>
      <c r="DB86" s="62"/>
      <c r="DC86" s="62"/>
      <c r="DD86" s="62"/>
    </row>
    <row r="87" spans="2:108" ht="21" hidden="1" thickBot="1" x14ac:dyDescent="0.25">
      <c r="E87" s="300"/>
      <c r="F87" s="300"/>
      <c r="G87" s="797"/>
      <c r="H87"/>
      <c r="I87"/>
      <c r="J87"/>
      <c r="K87"/>
      <c r="L87"/>
      <c r="M87"/>
      <c r="N87"/>
      <c r="O87" s="794"/>
      <c r="U87" s="97"/>
      <c r="AB87" s="97"/>
      <c r="AC87" s="97"/>
      <c r="AD87" s="97"/>
      <c r="AE87" s="97"/>
      <c r="BE87" s="119"/>
      <c r="BF87" s="119"/>
      <c r="BG87" s="119"/>
      <c r="BH87" s="119"/>
      <c r="BN87" s="69"/>
      <c r="BO87" s="863"/>
      <c r="BP87" s="79">
        <v>13</v>
      </c>
      <c r="BQ87" s="60"/>
      <c r="BR87" s="60"/>
      <c r="BS87" s="60"/>
      <c r="BU87" s="135"/>
      <c r="BV87" s="135"/>
      <c r="BW87" s="74"/>
      <c r="BX87" s="135"/>
      <c r="BY87" s="103" t="b">
        <f>IF(CC57=13,9)</f>
        <v>0</v>
      </c>
      <c r="BZ87" s="106"/>
      <c r="CA87" s="106"/>
      <c r="CB87" s="106"/>
      <c r="CC87" s="106"/>
      <c r="CD87" s="106"/>
      <c r="CE87" s="106"/>
      <c r="CF87" s="106"/>
      <c r="CG87" s="107" t="b">
        <f>IF(CC57=13,17)</f>
        <v>0</v>
      </c>
      <c r="CH87" s="136"/>
      <c r="CI87" s="74"/>
      <c r="CJ87" s="137"/>
      <c r="CK87" s="135"/>
      <c r="CM87" s="60"/>
      <c r="CN87" s="60"/>
      <c r="CO87" s="62"/>
      <c r="CP87" s="62"/>
      <c r="CQ87" s="62"/>
      <c r="CR87" s="62"/>
      <c r="CS87" s="62"/>
      <c r="CT87" s="62"/>
      <c r="CU87" s="62"/>
      <c r="CV87" s="62"/>
      <c r="CW87" s="62"/>
      <c r="CX87" s="62"/>
      <c r="CY87" s="62"/>
      <c r="CZ87" s="62"/>
      <c r="DA87" s="62"/>
      <c r="DB87" s="62"/>
      <c r="DC87" s="62"/>
      <c r="DD87" s="62"/>
    </row>
    <row r="88" spans="2:108" ht="21" hidden="1" thickBot="1" x14ac:dyDescent="0.25">
      <c r="E88" s="300"/>
      <c r="F88" s="300"/>
      <c r="G88" s="797"/>
      <c r="H88"/>
      <c r="I88"/>
      <c r="J88"/>
      <c r="K88"/>
      <c r="L88"/>
      <c r="M88"/>
      <c r="N88"/>
      <c r="O88" s="794"/>
      <c r="U88" s="97"/>
      <c r="AB88" s="97"/>
      <c r="AC88" s="97"/>
      <c r="AD88" s="97"/>
      <c r="AE88" s="97"/>
      <c r="BE88" s="119"/>
      <c r="BF88" s="119"/>
      <c r="BG88" s="119"/>
      <c r="BH88" s="119"/>
      <c r="BN88" s="69"/>
      <c r="BO88" s="863"/>
      <c r="BP88" s="79">
        <v>12</v>
      </c>
      <c r="BQ88" s="60"/>
      <c r="BS88" s="122"/>
      <c r="BT88" s="122"/>
      <c r="BU88" s="125"/>
      <c r="BV88" s="122"/>
      <c r="BW88" s="100" t="b">
        <f>IF(CB57=12,7)</f>
        <v>0</v>
      </c>
      <c r="BX88" s="102"/>
      <c r="BY88" s="102"/>
      <c r="BZ88" s="102"/>
      <c r="CA88" s="102"/>
      <c r="CB88" s="102"/>
      <c r="CC88" s="102"/>
      <c r="CD88" s="102"/>
      <c r="CE88" s="102"/>
      <c r="CF88" s="102"/>
      <c r="CG88" s="86" t="b">
        <f>IF(CB57=12,17)</f>
        <v>0</v>
      </c>
      <c r="CH88" s="138"/>
      <c r="CI88" s="125"/>
      <c r="CJ88" s="139"/>
      <c r="CK88" s="122"/>
      <c r="CM88" s="60"/>
      <c r="CN88" s="60"/>
      <c r="CO88" s="62"/>
      <c r="CP88" s="62"/>
      <c r="CQ88" s="62"/>
      <c r="CR88" s="62"/>
      <c r="CS88" s="62"/>
      <c r="CT88" s="62"/>
      <c r="CU88" s="62"/>
      <c r="CV88" s="62"/>
      <c r="CW88" s="62"/>
      <c r="CX88" s="62"/>
      <c r="CY88" s="62"/>
      <c r="CZ88" s="62"/>
      <c r="DA88" s="62"/>
      <c r="DB88" s="62"/>
      <c r="DC88" s="62"/>
      <c r="DD88" s="62"/>
    </row>
    <row r="89" spans="2:108" ht="21" hidden="1" thickBot="1" x14ac:dyDescent="0.25">
      <c r="D89" s="300"/>
      <c r="E89" s="300"/>
      <c r="F89" s="300"/>
      <c r="G89" s="797"/>
      <c r="H89"/>
      <c r="I89"/>
      <c r="J89"/>
      <c r="K89"/>
      <c r="L89"/>
      <c r="M89"/>
      <c r="N89"/>
      <c r="O89" s="794"/>
      <c r="U89" s="97"/>
      <c r="AB89" s="97"/>
      <c r="AC89" s="97"/>
      <c r="AD89" s="97"/>
      <c r="AE89" s="97"/>
      <c r="BE89" s="119"/>
      <c r="BF89" s="119"/>
      <c r="BG89" s="119"/>
      <c r="BH89" s="119"/>
      <c r="BN89" s="69"/>
      <c r="BO89" s="863"/>
      <c r="BP89" s="79">
        <v>11</v>
      </c>
      <c r="BR89" s="135"/>
      <c r="BS89" s="74"/>
      <c r="BT89" s="135"/>
      <c r="BU89" s="100" t="b">
        <f>IF(CA57=11,5)</f>
        <v>0</v>
      </c>
      <c r="BV89" s="102"/>
      <c r="BW89" s="102"/>
      <c r="BX89" s="102"/>
      <c r="BY89" s="102"/>
      <c r="BZ89" s="102"/>
      <c r="CA89" s="102"/>
      <c r="CB89" s="102"/>
      <c r="CC89" s="102"/>
      <c r="CD89" s="102"/>
      <c r="CE89" s="102"/>
      <c r="CF89" s="102"/>
      <c r="CG89" s="86" t="b">
        <f>IF(CA57=11,17)</f>
        <v>0</v>
      </c>
      <c r="CH89" s="136"/>
      <c r="CI89" s="74"/>
      <c r="CJ89" s="137"/>
      <c r="CL89" s="60"/>
      <c r="CM89" s="60"/>
      <c r="CN89" s="60"/>
      <c r="CO89" s="62"/>
      <c r="CP89" s="62"/>
      <c r="CQ89" s="62"/>
      <c r="CR89" s="62"/>
      <c r="CS89" s="62"/>
      <c r="CT89" s="62"/>
      <c r="CU89" s="62"/>
      <c r="CV89" s="62"/>
      <c r="CW89" s="62"/>
      <c r="CX89" s="62"/>
      <c r="CY89" s="62"/>
      <c r="CZ89" s="62"/>
      <c r="DA89" s="62"/>
      <c r="DB89" s="62"/>
      <c r="DC89" s="62"/>
      <c r="DD89" s="62"/>
    </row>
    <row r="90" spans="2:108" ht="21" hidden="1" thickBot="1" x14ac:dyDescent="0.25">
      <c r="B90" s="302"/>
      <c r="C90" s="302"/>
      <c r="D90" s="300"/>
      <c r="E90" s="300"/>
      <c r="F90" s="300"/>
      <c r="G90" s="797"/>
      <c r="H90"/>
      <c r="I90"/>
      <c r="J90"/>
      <c r="K90"/>
      <c r="L90"/>
      <c r="M90"/>
      <c r="N90"/>
      <c r="O90" s="794"/>
      <c r="U90" s="97"/>
      <c r="AB90" s="97"/>
      <c r="AC90" s="97"/>
      <c r="AD90" s="97"/>
      <c r="AE90" s="97"/>
      <c r="BE90" s="119"/>
      <c r="BF90" s="119"/>
      <c r="BG90" s="119"/>
      <c r="BH90" s="119"/>
      <c r="BN90" s="69"/>
      <c r="BO90" s="863"/>
      <c r="BP90" s="79">
        <v>10</v>
      </c>
      <c r="BR90" s="135"/>
      <c r="BS90" s="100" t="b">
        <f>IF(BZ57=10,3)</f>
        <v>0</v>
      </c>
      <c r="BT90" s="102"/>
      <c r="BU90" s="102"/>
      <c r="BV90" s="102"/>
      <c r="BW90" s="102"/>
      <c r="BX90" s="102"/>
      <c r="BY90" s="102"/>
      <c r="BZ90" s="102"/>
      <c r="CA90" s="102"/>
      <c r="CB90" s="102"/>
      <c r="CC90" s="102"/>
      <c r="CD90" s="102"/>
      <c r="CE90" s="102"/>
      <c r="CF90" s="102"/>
      <c r="CG90" s="86" t="b">
        <f>IF(BZ57=10,17)</f>
        <v>0</v>
      </c>
      <c r="CH90" s="136"/>
      <c r="CJ90" s="140"/>
      <c r="CK90" s="60"/>
      <c r="CL90" s="60"/>
      <c r="CM90" s="60"/>
      <c r="CN90" s="60"/>
      <c r="CO90" s="62"/>
      <c r="CP90" s="62"/>
      <c r="CQ90" s="62"/>
      <c r="CR90" s="62"/>
      <c r="CS90" s="62"/>
      <c r="CT90" s="62"/>
      <c r="CU90" s="62"/>
      <c r="CV90" s="62"/>
      <c r="CW90" s="62"/>
      <c r="CX90" s="62"/>
      <c r="CY90" s="62"/>
      <c r="CZ90" s="62"/>
      <c r="DA90" s="62"/>
      <c r="DB90" s="62"/>
      <c r="DC90" s="62"/>
      <c r="DD90" s="62"/>
    </row>
    <row r="91" spans="2:108" ht="21" hidden="1" thickBot="1" x14ac:dyDescent="0.25">
      <c r="B91" s="302"/>
      <c r="C91" s="302"/>
      <c r="D91" s="300"/>
      <c r="E91" s="300"/>
      <c r="F91" s="300"/>
      <c r="G91" s="797"/>
      <c r="H91"/>
      <c r="I91"/>
      <c r="J91"/>
      <c r="K91"/>
      <c r="L91"/>
      <c r="M91"/>
      <c r="N91"/>
      <c r="O91" s="794"/>
      <c r="U91" s="97"/>
      <c r="AB91" s="97"/>
      <c r="AC91" s="97"/>
      <c r="AD91" s="97"/>
      <c r="AE91" s="97"/>
      <c r="BF91" s="119"/>
      <c r="BG91" s="119"/>
      <c r="BH91" s="119"/>
      <c r="BN91" s="69"/>
      <c r="BO91" s="863"/>
      <c r="BP91" s="79">
        <v>9</v>
      </c>
      <c r="BQ91" s="100" t="b">
        <f>IF(BY57=9,1)</f>
        <v>0</v>
      </c>
      <c r="BR91" s="102"/>
      <c r="BS91" s="102"/>
      <c r="BT91" s="102"/>
      <c r="BU91" s="102"/>
      <c r="BV91" s="102"/>
      <c r="BW91" s="102"/>
      <c r="BX91" s="102"/>
      <c r="BY91" s="102"/>
      <c r="BZ91" s="102"/>
      <c r="CA91" s="102"/>
      <c r="CB91" s="102"/>
      <c r="CC91" s="102"/>
      <c r="CD91" s="102"/>
      <c r="CE91" s="102"/>
      <c r="CF91" s="102"/>
      <c r="CG91" s="86" t="b">
        <f>IF(BY57=9,17)</f>
        <v>0</v>
      </c>
      <c r="CH91" s="60"/>
      <c r="CI91" s="60"/>
      <c r="CJ91" s="140"/>
      <c r="CK91" s="60"/>
      <c r="CL91" s="60"/>
      <c r="CM91" s="60"/>
      <c r="CN91" s="60"/>
      <c r="CO91" s="62"/>
      <c r="CP91" s="62"/>
      <c r="CQ91" s="62"/>
      <c r="CR91" s="62"/>
      <c r="CS91" s="62"/>
      <c r="CT91" s="62"/>
      <c r="CU91" s="62"/>
      <c r="CV91" s="62"/>
      <c r="CW91" s="62"/>
      <c r="CX91" s="62"/>
      <c r="CY91" s="62"/>
      <c r="CZ91" s="62"/>
      <c r="DA91" s="62"/>
      <c r="DB91" s="62"/>
      <c r="DC91" s="62"/>
      <c r="DD91" s="62"/>
    </row>
    <row r="92" spans="2:108" ht="21" hidden="1" thickBot="1" x14ac:dyDescent="0.25">
      <c r="B92" s="304"/>
      <c r="E92" s="300"/>
      <c r="F92" s="300"/>
      <c r="G92" s="797"/>
      <c r="H92"/>
      <c r="I92"/>
      <c r="J92"/>
      <c r="K92"/>
      <c r="L92"/>
      <c r="M92"/>
      <c r="N92"/>
      <c r="O92" s="794"/>
      <c r="U92" s="97"/>
      <c r="AB92" s="97"/>
      <c r="AC92" s="97"/>
      <c r="AD92" s="97"/>
      <c r="AE92" s="97"/>
      <c r="BE92" s="119"/>
      <c r="BF92" s="119"/>
      <c r="BG92" s="119"/>
      <c r="BH92" s="119"/>
      <c r="BN92" s="69"/>
      <c r="BO92" s="863"/>
      <c r="BP92" s="79">
        <v>8</v>
      </c>
      <c r="BQ92" s="100" t="b">
        <f>IF(BX57=8,1)</f>
        <v>0</v>
      </c>
      <c r="BR92" s="102"/>
      <c r="BS92" s="101"/>
      <c r="BT92" s="102"/>
      <c r="BU92" s="102"/>
      <c r="BV92" s="102"/>
      <c r="BW92" s="102"/>
      <c r="BX92" s="102"/>
      <c r="BY92" s="102"/>
      <c r="BZ92" s="102"/>
      <c r="CA92" s="102"/>
      <c r="CB92" s="102"/>
      <c r="CC92" s="101"/>
      <c r="CD92" s="102"/>
      <c r="CE92" s="86" t="b">
        <f>IF(BX57=8,15)</f>
        <v>0</v>
      </c>
      <c r="CF92" s="60"/>
      <c r="CG92" s="60"/>
      <c r="CH92" s="141"/>
      <c r="CI92" s="60"/>
      <c r="CJ92" s="140"/>
      <c r="CK92" s="60"/>
      <c r="CL92" s="60"/>
      <c r="CM92" s="60"/>
      <c r="CN92" s="60"/>
      <c r="CO92" s="62"/>
      <c r="CP92" s="62"/>
      <c r="CQ92" s="62"/>
      <c r="CR92" s="62"/>
      <c r="CS92" s="62"/>
      <c r="CT92" s="62"/>
      <c r="CU92" s="62"/>
      <c r="CV92" s="62"/>
      <c r="CW92" s="62"/>
      <c r="CX92" s="62"/>
      <c r="CY92" s="62"/>
      <c r="CZ92" s="62"/>
      <c r="DA92" s="62"/>
      <c r="DB92" s="62"/>
      <c r="DC92" s="62"/>
      <c r="DD92" s="62"/>
    </row>
    <row r="93" spans="2:108" ht="21" hidden="1" thickBot="1" x14ac:dyDescent="0.25">
      <c r="B93" s="302"/>
      <c r="C93" s="302"/>
      <c r="D93" s="300"/>
      <c r="E93" s="300"/>
      <c r="F93" s="300"/>
      <c r="G93" s="797"/>
      <c r="H93"/>
      <c r="I93"/>
      <c r="J93"/>
      <c r="K93"/>
      <c r="L93"/>
      <c r="M93"/>
      <c r="N93"/>
      <c r="O93" s="794"/>
      <c r="U93" s="97"/>
      <c r="AB93" s="97"/>
      <c r="AC93" s="97"/>
      <c r="AD93" s="97"/>
      <c r="AE93" s="97"/>
      <c r="BF93" s="119"/>
      <c r="BG93" s="119"/>
      <c r="BH93" s="119"/>
      <c r="BN93" s="69"/>
      <c r="BO93" s="863"/>
      <c r="BP93" s="79">
        <v>7</v>
      </c>
      <c r="BQ93" s="100" t="b">
        <f>IF(BW57=7,1)</f>
        <v>0</v>
      </c>
      <c r="BR93" s="101"/>
      <c r="BS93" s="102"/>
      <c r="BT93" s="102"/>
      <c r="BU93" s="102"/>
      <c r="BV93" s="102"/>
      <c r="BW93" s="102"/>
      <c r="BX93" s="102"/>
      <c r="BY93" s="102"/>
      <c r="BZ93" s="102"/>
      <c r="CA93" s="101"/>
      <c r="CB93" s="101"/>
      <c r="CC93" s="86" t="b">
        <f>IF(BW57=7,13)</f>
        <v>0</v>
      </c>
      <c r="CD93" s="60"/>
      <c r="CE93" s="60"/>
      <c r="CF93" s="60"/>
      <c r="CG93" s="60"/>
      <c r="CH93" s="141"/>
      <c r="CI93" s="60"/>
      <c r="CJ93" s="140"/>
      <c r="CK93" s="60"/>
      <c r="CL93" s="60"/>
      <c r="CM93" s="60"/>
      <c r="CN93" s="60"/>
      <c r="CO93" s="62"/>
      <c r="CP93" s="62"/>
      <c r="CQ93" s="62"/>
      <c r="CR93" s="62"/>
      <c r="CS93" s="62"/>
      <c r="CT93" s="62"/>
      <c r="CU93" s="62"/>
      <c r="CV93" s="62"/>
      <c r="CW93" s="62"/>
      <c r="CX93" s="62"/>
      <c r="CY93" s="62"/>
      <c r="CZ93" s="62"/>
      <c r="DA93" s="62"/>
      <c r="DB93" s="62"/>
      <c r="DC93" s="62"/>
      <c r="DD93" s="62"/>
    </row>
    <row r="94" spans="2:108" ht="21" hidden="1" thickBot="1" x14ac:dyDescent="0.25">
      <c r="B94" s="302"/>
      <c r="C94" s="302"/>
      <c r="D94" s="300"/>
      <c r="E94" s="300"/>
      <c r="F94" s="300"/>
      <c r="G94" s="797"/>
      <c r="H94"/>
      <c r="I94"/>
      <c r="J94"/>
      <c r="K94"/>
      <c r="L94"/>
      <c r="M94"/>
      <c r="N94"/>
      <c r="O94" s="794"/>
      <c r="U94" s="97"/>
      <c r="AB94" s="97"/>
      <c r="AC94" s="97"/>
      <c r="AD94" s="97"/>
      <c r="AE94" s="97"/>
      <c r="BF94" s="119"/>
      <c r="BG94" s="119"/>
      <c r="BH94" s="119"/>
      <c r="BN94" s="69"/>
      <c r="BO94" s="863"/>
      <c r="BP94" s="79">
        <v>6</v>
      </c>
      <c r="BQ94" s="103" t="b">
        <f>IF(BV57=6,1)</f>
        <v>0</v>
      </c>
      <c r="BR94" s="106"/>
      <c r="BS94" s="106"/>
      <c r="BT94" s="106"/>
      <c r="BU94" s="106"/>
      <c r="BV94" s="106"/>
      <c r="BW94" s="106"/>
      <c r="BX94" s="106"/>
      <c r="BY94" s="106"/>
      <c r="BZ94" s="106"/>
      <c r="CA94" s="107" t="b">
        <f>IF(BV57=6,11)</f>
        <v>0</v>
      </c>
      <c r="CB94" s="60"/>
      <c r="CC94" s="60"/>
      <c r="CD94" s="60"/>
      <c r="CE94" s="60"/>
      <c r="CF94" s="60"/>
      <c r="CG94" s="60"/>
      <c r="CH94" s="141"/>
      <c r="CI94" s="60"/>
      <c r="CJ94" s="140"/>
      <c r="CK94" s="60"/>
      <c r="CL94" s="60"/>
      <c r="CM94" s="60"/>
      <c r="CN94" s="60"/>
      <c r="CO94" s="62"/>
      <c r="CP94" s="62"/>
      <c r="CQ94" s="62"/>
      <c r="CR94" s="62"/>
      <c r="CS94" s="62"/>
      <c r="CT94" s="62"/>
      <c r="CU94" s="62"/>
      <c r="CV94" s="62"/>
      <c r="CW94" s="62"/>
      <c r="CX94" s="62"/>
      <c r="CY94" s="62"/>
      <c r="CZ94" s="62"/>
      <c r="DA94" s="62"/>
      <c r="DB94" s="62"/>
      <c r="DC94" s="62"/>
      <c r="DD94" s="62"/>
    </row>
    <row r="95" spans="2:108" ht="21" hidden="1" thickBot="1" x14ac:dyDescent="0.25">
      <c r="B95" s="12"/>
      <c r="C95" s="302"/>
      <c r="D95" s="300"/>
      <c r="E95" s="12"/>
      <c r="F95" s="300"/>
      <c r="G95" s="797"/>
      <c r="H95"/>
      <c r="I95"/>
      <c r="J95"/>
      <c r="K95"/>
      <c r="L95"/>
      <c r="M95"/>
      <c r="N95"/>
      <c r="O95" s="794"/>
      <c r="U95" s="97"/>
      <c r="AB95" s="97"/>
      <c r="AC95" s="97"/>
      <c r="AD95" s="97"/>
      <c r="AE95" s="97"/>
      <c r="BE95" s="119"/>
      <c r="BF95" s="119"/>
      <c r="BG95" s="119"/>
      <c r="BH95" s="119"/>
      <c r="BN95" s="69"/>
      <c r="BO95" s="863"/>
      <c r="BP95" s="79">
        <v>5</v>
      </c>
      <c r="BQ95" s="103" t="b">
        <f>IF(BU57=5,1)</f>
        <v>0</v>
      </c>
      <c r="BR95" s="105"/>
      <c r="BS95" s="106"/>
      <c r="BT95" s="106"/>
      <c r="BU95" s="106"/>
      <c r="BV95" s="106"/>
      <c r="BW95" s="106"/>
      <c r="BX95" s="105"/>
      <c r="BY95" s="107" t="b">
        <f>IF(BU57=5,9)</f>
        <v>0</v>
      </c>
      <c r="BZ95" s="60"/>
      <c r="CA95" s="60"/>
      <c r="CB95" s="60"/>
      <c r="CC95" s="60"/>
      <c r="CD95" s="60"/>
      <c r="CE95" s="60"/>
      <c r="CF95" s="60"/>
      <c r="CG95" s="60"/>
      <c r="CH95" s="141"/>
      <c r="CI95" s="60"/>
      <c r="CJ95" s="140"/>
      <c r="CK95" s="60"/>
      <c r="CL95" s="60"/>
      <c r="CM95" s="60"/>
      <c r="CN95" s="60"/>
      <c r="CO95" s="62"/>
      <c r="CP95" s="62"/>
      <c r="CQ95" s="62"/>
      <c r="CR95" s="62"/>
      <c r="CS95" s="62"/>
      <c r="CT95" s="62"/>
      <c r="CU95" s="62"/>
      <c r="CV95" s="62"/>
      <c r="CW95" s="62"/>
      <c r="CX95" s="62"/>
      <c r="CY95" s="62"/>
      <c r="CZ95" s="62"/>
      <c r="DA95" s="62"/>
      <c r="DB95" s="62"/>
      <c r="DC95" s="62"/>
      <c r="DD95" s="62"/>
    </row>
    <row r="96" spans="2:108" ht="21" hidden="1" thickBot="1" x14ac:dyDescent="0.25">
      <c r="B96" s="302"/>
      <c r="C96" s="302"/>
      <c r="D96" s="300"/>
      <c r="E96" s="300"/>
      <c r="F96" s="300"/>
      <c r="G96" s="797"/>
      <c r="H96"/>
      <c r="I96"/>
      <c r="J96"/>
      <c r="K96"/>
      <c r="L96"/>
      <c r="M96"/>
      <c r="N96"/>
      <c r="O96" s="794"/>
      <c r="U96" s="97"/>
      <c r="AB96" s="97"/>
      <c r="AC96" s="97"/>
      <c r="AD96" s="97"/>
      <c r="AE96" s="97"/>
      <c r="BF96" s="119"/>
      <c r="BG96" s="119"/>
      <c r="BH96" s="119"/>
      <c r="BN96" s="69"/>
      <c r="BO96" s="863"/>
      <c r="BP96" s="79">
        <v>4</v>
      </c>
      <c r="BQ96" s="103" t="b">
        <f>IF(BT57=4,1)</f>
        <v>0</v>
      </c>
      <c r="BR96" s="106"/>
      <c r="BS96" s="106"/>
      <c r="BT96" s="106"/>
      <c r="BU96" s="106"/>
      <c r="BV96" s="106"/>
      <c r="BW96" s="107" t="b">
        <f>IF(BT57=4,7)</f>
        <v>0</v>
      </c>
      <c r="BX96" s="60"/>
      <c r="BY96" s="142"/>
      <c r="BZ96" s="142"/>
      <c r="CA96" s="60"/>
      <c r="CB96" s="142"/>
      <c r="CC96" s="60"/>
      <c r="CD96" s="60"/>
      <c r="CE96" s="60"/>
      <c r="CF96" s="60"/>
      <c r="CG96" s="60"/>
      <c r="CH96" s="141"/>
      <c r="CI96" s="60"/>
      <c r="CJ96" s="140"/>
      <c r="CK96" s="60"/>
      <c r="CL96" s="60"/>
      <c r="CM96" s="60"/>
      <c r="CN96" s="60"/>
      <c r="CO96" s="62"/>
      <c r="CP96" s="62"/>
      <c r="CQ96" s="62"/>
      <c r="CR96" s="62"/>
      <c r="CS96" s="62"/>
      <c r="CT96" s="62"/>
      <c r="CU96" s="62"/>
      <c r="CV96" s="62"/>
      <c r="CW96" s="62"/>
      <c r="CX96" s="62"/>
      <c r="CY96" s="62"/>
      <c r="CZ96" s="62"/>
      <c r="DA96" s="62"/>
      <c r="DB96" s="62"/>
      <c r="DC96" s="62"/>
      <c r="DD96" s="62"/>
    </row>
    <row r="97" spans="2:108" ht="21" hidden="1" thickBot="1" x14ac:dyDescent="0.25">
      <c r="B97" s="302"/>
      <c r="C97" s="302"/>
      <c r="D97" s="300"/>
      <c r="E97" s="300"/>
      <c r="F97" s="300"/>
      <c r="G97" s="797"/>
      <c r="H97"/>
      <c r="I97"/>
      <c r="J97"/>
      <c r="K97"/>
      <c r="L97"/>
      <c r="M97"/>
      <c r="N97"/>
      <c r="O97" s="794"/>
      <c r="U97" s="97"/>
      <c r="AB97" s="97"/>
      <c r="AC97" s="97"/>
      <c r="AD97" s="97"/>
      <c r="AE97" s="97"/>
      <c r="BE97" s="119"/>
      <c r="BF97" s="119"/>
      <c r="BG97" s="119"/>
      <c r="BH97" s="119"/>
      <c r="BN97" s="69"/>
      <c r="BO97" s="863"/>
      <c r="BP97" s="79">
        <v>3</v>
      </c>
      <c r="BQ97" s="103" t="b">
        <f>IF(BS57=3,1)</f>
        <v>0</v>
      </c>
      <c r="BR97" s="106"/>
      <c r="BS97" s="106"/>
      <c r="BT97" s="106"/>
      <c r="BU97" s="107" t="b">
        <f>IF(BS57=3,5)</f>
        <v>0</v>
      </c>
      <c r="BV97" s="60"/>
      <c r="BW97" s="60"/>
      <c r="BX97" s="60"/>
      <c r="BY97" s="60"/>
      <c r="BZ97" s="60"/>
      <c r="CA97" s="60"/>
      <c r="CB97" s="60"/>
      <c r="CC97" s="60"/>
      <c r="CD97" s="60"/>
      <c r="CE97" s="60"/>
      <c r="CF97" s="60"/>
      <c r="CG97" s="60"/>
      <c r="CH97" s="141"/>
      <c r="CI97" s="60"/>
      <c r="CJ97" s="140"/>
      <c r="CK97" s="60"/>
      <c r="CL97" s="60"/>
      <c r="CM97" s="60"/>
      <c r="CN97" s="60"/>
      <c r="CO97" s="62"/>
      <c r="CP97" s="62"/>
      <c r="CQ97" s="62"/>
      <c r="CR97" s="62"/>
      <c r="CS97" s="62"/>
      <c r="CT97" s="62"/>
      <c r="CU97" s="62"/>
      <c r="CV97" s="62"/>
      <c r="CW97" s="62"/>
      <c r="CX97" s="62"/>
      <c r="CY97" s="62"/>
      <c r="CZ97" s="62"/>
      <c r="DA97" s="62"/>
      <c r="DB97" s="62"/>
      <c r="DC97" s="62"/>
      <c r="DD97" s="62"/>
    </row>
    <row r="98" spans="2:108" ht="20" hidden="1" x14ac:dyDescent="0.2">
      <c r="E98" s="300"/>
      <c r="F98" s="300"/>
      <c r="G98" s="797"/>
      <c r="H98"/>
      <c r="I98"/>
      <c r="J98"/>
      <c r="K98"/>
      <c r="L98"/>
      <c r="M98"/>
      <c r="N98"/>
      <c r="O98" s="794"/>
      <c r="U98" s="97"/>
      <c r="AB98" s="97"/>
      <c r="AC98" s="97"/>
      <c r="AD98" s="97"/>
      <c r="AE98" s="97"/>
      <c r="BE98" s="119"/>
      <c r="BF98" s="119"/>
      <c r="BG98" s="119"/>
      <c r="BH98" s="119"/>
      <c r="BN98" s="69"/>
      <c r="BO98" s="863"/>
      <c r="BP98" s="79">
        <v>2</v>
      </c>
      <c r="BQ98" s="143" t="b">
        <f>IF(BR57=2,1)</f>
        <v>0</v>
      </c>
      <c r="BR98" s="144"/>
      <c r="BS98" s="145" t="b">
        <f>IF(BR57=2,3)</f>
        <v>0</v>
      </c>
      <c r="BT98" s="60"/>
      <c r="BU98" s="60"/>
      <c r="BV98" s="60"/>
      <c r="BW98" s="60"/>
      <c r="BX98" s="60"/>
      <c r="BY98" s="60"/>
      <c r="BZ98" s="60"/>
      <c r="CA98" s="60"/>
      <c r="CB98" s="60"/>
      <c r="CC98" s="60"/>
      <c r="CD98" s="60"/>
      <c r="CE98" s="60"/>
      <c r="CF98" s="60"/>
      <c r="CG98" s="60"/>
      <c r="CH98" s="141"/>
      <c r="CI98" s="60"/>
      <c r="CJ98" s="140"/>
      <c r="CK98" s="60"/>
      <c r="CL98" s="60"/>
      <c r="CM98" s="60"/>
      <c r="CN98" s="60"/>
      <c r="CO98" s="62"/>
      <c r="CP98" s="62"/>
      <c r="CQ98" s="62"/>
      <c r="CR98" s="62"/>
      <c r="CS98" s="62"/>
      <c r="CT98" s="62"/>
      <c r="CU98" s="62"/>
      <c r="CV98" s="62"/>
      <c r="CW98" s="62"/>
      <c r="CX98" s="62"/>
      <c r="CY98" s="62"/>
      <c r="CZ98" s="62"/>
      <c r="DA98" s="62"/>
      <c r="DB98" s="62"/>
      <c r="DC98" s="62"/>
      <c r="DD98" s="62"/>
    </row>
    <row r="99" spans="2:108" ht="21" hidden="1" thickBot="1" x14ac:dyDescent="0.25">
      <c r="E99" s="300"/>
      <c r="F99" s="300"/>
      <c r="G99" s="797"/>
      <c r="H99"/>
      <c r="I99"/>
      <c r="J99"/>
      <c r="K99"/>
      <c r="L99"/>
      <c r="M99"/>
      <c r="N99"/>
      <c r="O99" s="794"/>
      <c r="U99" s="97"/>
      <c r="AB99" s="97"/>
      <c r="AC99" s="97"/>
      <c r="AD99" s="97"/>
      <c r="AE99" s="97"/>
      <c r="BE99" s="119"/>
      <c r="BF99" s="119"/>
      <c r="BG99" s="119"/>
      <c r="BH99" s="119"/>
      <c r="BN99" s="69"/>
      <c r="BO99" s="863"/>
      <c r="BP99" s="146"/>
      <c r="BQ99" s="147">
        <f>SUM(BQ64:BQ98)</f>
        <v>0</v>
      </c>
      <c r="BR99" s="147">
        <f t="shared" ref="BR99:DA99" si="3">SUM(BR64:BR98)</f>
        <v>0</v>
      </c>
      <c r="BS99" s="147">
        <f t="shared" si="3"/>
        <v>0</v>
      </c>
      <c r="BT99" s="147">
        <f t="shared" si="3"/>
        <v>0</v>
      </c>
      <c r="BU99" s="147">
        <f t="shared" si="3"/>
        <v>0</v>
      </c>
      <c r="BV99" s="147">
        <f t="shared" si="3"/>
        <v>0</v>
      </c>
      <c r="BW99" s="147">
        <f t="shared" si="3"/>
        <v>0</v>
      </c>
      <c r="BX99" s="147">
        <f t="shared" si="3"/>
        <v>8</v>
      </c>
      <c r="BY99" s="147">
        <f t="shared" si="3"/>
        <v>0</v>
      </c>
      <c r="BZ99" s="147">
        <f t="shared" si="3"/>
        <v>0</v>
      </c>
      <c r="CA99" s="147">
        <f t="shared" si="3"/>
        <v>0</v>
      </c>
      <c r="CB99" s="147">
        <f t="shared" si="3"/>
        <v>0</v>
      </c>
      <c r="CC99" s="147">
        <f t="shared" si="3"/>
        <v>0</v>
      </c>
      <c r="CD99" s="147">
        <f t="shared" si="3"/>
        <v>0</v>
      </c>
      <c r="CE99" s="147">
        <f t="shared" si="3"/>
        <v>0</v>
      </c>
      <c r="CF99" s="147">
        <f t="shared" si="3"/>
        <v>0</v>
      </c>
      <c r="CG99" s="148">
        <f t="shared" si="3"/>
        <v>0</v>
      </c>
      <c r="CH99" s="149"/>
      <c r="CI99" s="150"/>
      <c r="CJ99" s="151"/>
      <c r="CK99" s="152">
        <f t="shared" si="3"/>
        <v>0</v>
      </c>
      <c r="CL99" s="147">
        <f t="shared" si="3"/>
        <v>0</v>
      </c>
      <c r="CM99" s="147">
        <f t="shared" si="3"/>
        <v>0</v>
      </c>
      <c r="CN99" s="147">
        <f t="shared" si="3"/>
        <v>0</v>
      </c>
      <c r="CO99" s="147">
        <f t="shared" si="3"/>
        <v>0</v>
      </c>
      <c r="CP99" s="147">
        <f t="shared" si="3"/>
        <v>26</v>
      </c>
      <c r="CQ99" s="147">
        <f t="shared" si="3"/>
        <v>0</v>
      </c>
      <c r="CR99" s="147">
        <f t="shared" si="3"/>
        <v>0</v>
      </c>
      <c r="CS99" s="147">
        <f t="shared" si="3"/>
        <v>0</v>
      </c>
      <c r="CT99" s="147">
        <f t="shared" si="3"/>
        <v>0</v>
      </c>
      <c r="CU99" s="147">
        <f t="shared" si="3"/>
        <v>0</v>
      </c>
      <c r="CV99" s="147">
        <f t="shared" si="3"/>
        <v>0</v>
      </c>
      <c r="CW99" s="147">
        <f t="shared" si="3"/>
        <v>0</v>
      </c>
      <c r="CX99" s="147">
        <f t="shared" si="3"/>
        <v>0</v>
      </c>
      <c r="CY99" s="147">
        <f t="shared" si="3"/>
        <v>0</v>
      </c>
      <c r="CZ99" s="147">
        <f t="shared" si="3"/>
        <v>0</v>
      </c>
      <c r="DA99" s="147">
        <f t="shared" si="3"/>
        <v>0</v>
      </c>
      <c r="DB99" s="62"/>
      <c r="DC99" s="62"/>
      <c r="DD99" s="62"/>
    </row>
    <row r="100" spans="2:108" ht="20" hidden="1" x14ac:dyDescent="0.2">
      <c r="E100" s="300"/>
      <c r="F100" s="300"/>
      <c r="G100" s="797"/>
      <c r="H100"/>
      <c r="I100"/>
      <c r="J100"/>
      <c r="K100"/>
      <c r="L100"/>
      <c r="M100"/>
      <c r="N100"/>
      <c r="O100" s="794"/>
      <c r="U100" s="97"/>
      <c r="AB100" s="97"/>
      <c r="AC100" s="97"/>
      <c r="AD100" s="97"/>
      <c r="AE100" s="97"/>
      <c r="BE100" s="119"/>
      <c r="BF100" s="119"/>
      <c r="BG100" s="119"/>
      <c r="BH100" s="119"/>
      <c r="BN100" s="69"/>
      <c r="BO100" s="863"/>
      <c r="BP100" s="146"/>
      <c r="BQ100" s="153"/>
      <c r="BR100" s="153"/>
      <c r="BS100" s="153"/>
      <c r="BT100" s="153"/>
      <c r="BU100" s="153"/>
      <c r="BV100" s="153"/>
      <c r="BW100" s="153"/>
      <c r="BX100" s="153"/>
      <c r="BY100" s="153"/>
      <c r="BZ100" s="153"/>
      <c r="CA100" s="153"/>
      <c r="CB100" s="153"/>
      <c r="CC100" s="153"/>
      <c r="CD100" s="153"/>
      <c r="CE100" s="153"/>
      <c r="CF100" s="153"/>
      <c r="CG100" s="153"/>
      <c r="CH100" s="153"/>
      <c r="CI100" s="153"/>
      <c r="CJ100" s="153"/>
      <c r="CK100" s="154"/>
      <c r="CL100" s="153"/>
      <c r="CM100" s="153"/>
      <c r="CN100" s="153"/>
      <c r="CO100" s="153"/>
      <c r="CP100" s="153"/>
      <c r="CQ100" s="153"/>
      <c r="CR100" s="153"/>
      <c r="CS100" s="153"/>
      <c r="CT100" s="153"/>
      <c r="CU100" s="153"/>
      <c r="CV100" s="153"/>
      <c r="CW100" s="153"/>
      <c r="CX100" s="153"/>
      <c r="CY100" s="153"/>
      <c r="CZ100" s="153"/>
      <c r="DA100" s="153"/>
      <c r="DB100" s="62"/>
      <c r="DC100" s="62"/>
      <c r="DD100" s="62"/>
    </row>
    <row r="101" spans="2:108" ht="20" hidden="1" x14ac:dyDescent="0.2">
      <c r="E101" s="300"/>
      <c r="F101" s="300"/>
      <c r="G101" s="797"/>
      <c r="H101"/>
      <c r="I101"/>
      <c r="J101"/>
      <c r="K101"/>
      <c r="L101"/>
      <c r="M101"/>
      <c r="N101"/>
      <c r="O101" s="794"/>
      <c r="U101" s="97"/>
      <c r="AB101" s="97"/>
      <c r="AC101" s="97"/>
      <c r="AD101" s="97"/>
      <c r="AE101" s="97"/>
      <c r="BE101" s="119"/>
      <c r="BF101" s="119"/>
      <c r="BG101" s="119"/>
      <c r="BH101" s="119"/>
      <c r="BN101" s="69"/>
      <c r="BO101" s="863"/>
      <c r="BP101" s="146"/>
      <c r="BQ101" s="153"/>
      <c r="BR101" s="153"/>
      <c r="BS101" s="153"/>
      <c r="BT101" s="153"/>
      <c r="BU101" s="153"/>
      <c r="BV101" s="153"/>
      <c r="BW101" s="153"/>
      <c r="BX101" s="153"/>
      <c r="BY101" s="153"/>
      <c r="BZ101" s="153"/>
      <c r="CA101" s="153"/>
      <c r="CB101" s="153"/>
      <c r="CC101" s="153"/>
      <c r="CD101" s="153"/>
      <c r="CE101" s="153"/>
      <c r="CF101" s="153"/>
      <c r="CG101" s="153"/>
      <c r="CH101" s="153"/>
      <c r="CI101" s="153"/>
      <c r="CJ101" s="153"/>
      <c r="CK101" s="154"/>
      <c r="CL101" s="153"/>
      <c r="CM101" s="153"/>
      <c r="CN101" s="153"/>
      <c r="CO101" s="153"/>
      <c r="CP101" s="153"/>
      <c r="CQ101" s="153"/>
      <c r="CR101" s="153"/>
      <c r="CS101" s="153"/>
      <c r="CT101" s="153"/>
      <c r="CU101" s="153"/>
      <c r="CV101" s="153"/>
      <c r="CW101" s="153"/>
      <c r="CX101" s="153"/>
      <c r="CY101" s="153"/>
      <c r="CZ101" s="153"/>
      <c r="DA101" s="153"/>
      <c r="DB101" s="62"/>
      <c r="DC101" s="62"/>
      <c r="DD101" s="62"/>
    </row>
    <row r="102" spans="2:108" ht="20" hidden="1" x14ac:dyDescent="0.2">
      <c r="E102" s="300"/>
      <c r="F102" s="300"/>
      <c r="G102" s="797"/>
      <c r="H102"/>
      <c r="I102"/>
      <c r="J102"/>
      <c r="K102"/>
      <c r="L102"/>
      <c r="M102"/>
      <c r="N102"/>
      <c r="O102" s="794"/>
      <c r="U102" s="97"/>
      <c r="AB102" s="97"/>
      <c r="AC102" s="97"/>
      <c r="AD102" s="97"/>
      <c r="AE102" s="97"/>
      <c r="BE102" s="119"/>
      <c r="BF102" s="119"/>
      <c r="BG102" s="119"/>
      <c r="BH102" s="119"/>
      <c r="BN102" s="69"/>
      <c r="BO102" s="863"/>
      <c r="BP102" s="146"/>
      <c r="BQ102" s="153"/>
      <c r="BR102" s="153"/>
      <c r="BS102" s="153"/>
      <c r="BT102" s="153"/>
      <c r="BU102" s="153"/>
      <c r="BV102" s="153"/>
      <c r="BW102" s="153"/>
      <c r="BX102" s="153"/>
      <c r="BY102" s="153"/>
      <c r="BZ102" s="153"/>
      <c r="CA102" s="153"/>
      <c r="CB102" s="153"/>
      <c r="CC102" s="153"/>
      <c r="CD102" s="153"/>
      <c r="CE102" s="153"/>
      <c r="CF102" s="153"/>
      <c r="CG102" s="153"/>
      <c r="CH102" s="153"/>
      <c r="CI102" s="153"/>
      <c r="CJ102" s="153"/>
      <c r="CK102" s="154"/>
      <c r="CL102" s="153"/>
      <c r="CM102" s="153"/>
      <c r="CN102" s="153"/>
      <c r="CO102" s="153"/>
      <c r="CP102" s="153"/>
      <c r="CQ102" s="153"/>
      <c r="CR102" s="153"/>
      <c r="CS102" s="153"/>
      <c r="CT102" s="153"/>
      <c r="CU102" s="153"/>
      <c r="CV102" s="153"/>
      <c r="CW102" s="153"/>
      <c r="CX102" s="153"/>
      <c r="CY102" s="153"/>
      <c r="CZ102" s="153"/>
      <c r="DA102" s="153"/>
      <c r="DB102" s="62"/>
      <c r="DC102" s="62"/>
      <c r="DD102" s="62"/>
    </row>
    <row r="103" spans="2:108" ht="20" hidden="1" x14ac:dyDescent="0.2">
      <c r="E103" s="300"/>
      <c r="F103" s="300"/>
      <c r="G103" s="797"/>
      <c r="H103"/>
      <c r="I103"/>
      <c r="J103"/>
      <c r="K103"/>
      <c r="L103"/>
      <c r="M103"/>
      <c r="N103"/>
      <c r="O103" s="794"/>
      <c r="U103" s="97"/>
      <c r="AB103" s="97"/>
      <c r="AC103" s="97"/>
      <c r="AD103" s="97"/>
      <c r="AE103" s="97"/>
      <c r="BE103" s="119"/>
      <c r="BF103" s="119"/>
      <c r="BG103" s="119"/>
      <c r="BH103" s="119"/>
      <c r="BN103" s="69"/>
      <c r="BO103" s="863"/>
      <c r="BP103" s="146"/>
      <c r="BQ103" s="153"/>
      <c r="BR103" s="153"/>
      <c r="BS103" s="153"/>
      <c r="BT103" s="153"/>
      <c r="BU103" s="153"/>
      <c r="BV103" s="153"/>
      <c r="BW103" s="153"/>
      <c r="BX103" s="153"/>
      <c r="BY103" s="153"/>
      <c r="BZ103" s="153"/>
      <c r="CA103" s="153"/>
      <c r="CB103" s="153"/>
      <c r="CC103" s="153"/>
      <c r="CD103" s="153"/>
      <c r="CE103" s="153"/>
      <c r="CF103" s="153"/>
      <c r="CG103" s="153"/>
      <c r="CH103" s="153"/>
      <c r="CI103" s="153"/>
      <c r="CJ103" s="153"/>
      <c r="CK103" s="154"/>
      <c r="CL103" s="153"/>
      <c r="CM103" s="153"/>
      <c r="CN103" s="153"/>
      <c r="CO103" s="153"/>
      <c r="CP103" s="153"/>
      <c r="CQ103" s="153"/>
      <c r="CR103" s="153"/>
      <c r="CS103" s="153"/>
      <c r="CT103" s="153"/>
      <c r="CU103" s="153"/>
      <c r="CV103" s="153"/>
      <c r="CW103" s="153"/>
      <c r="CX103" s="153"/>
      <c r="CY103" s="153"/>
      <c r="CZ103" s="153"/>
      <c r="DA103" s="153"/>
      <c r="DB103" s="62"/>
      <c r="DC103" s="62"/>
      <c r="DD103" s="62"/>
    </row>
    <row r="104" spans="2:108" ht="20" hidden="1" x14ac:dyDescent="0.2">
      <c r="E104" s="300"/>
      <c r="F104" s="300"/>
      <c r="G104" s="797"/>
      <c r="H104"/>
      <c r="I104"/>
      <c r="J104"/>
      <c r="K104"/>
      <c r="L104"/>
      <c r="M104"/>
      <c r="N104"/>
      <c r="O104" s="794"/>
      <c r="U104" s="97"/>
      <c r="AB104" s="97"/>
      <c r="AC104" s="97"/>
      <c r="AD104" s="97"/>
      <c r="AE104" s="97"/>
      <c r="BE104" s="119"/>
      <c r="BF104" s="119"/>
      <c r="BG104" s="119"/>
      <c r="BH104" s="119"/>
      <c r="BN104" s="69"/>
      <c r="BO104" s="863"/>
      <c r="BP104" s="146"/>
      <c r="BQ104" s="153"/>
      <c r="BR104" s="153"/>
      <c r="BS104" s="153"/>
      <c r="BT104" s="153"/>
      <c r="BU104" s="153"/>
      <c r="BV104" s="153"/>
      <c r="BW104" s="153"/>
      <c r="BX104" s="153"/>
      <c r="BY104" s="153"/>
      <c r="BZ104" s="153"/>
      <c r="CA104" s="153"/>
      <c r="CB104" s="153"/>
      <c r="CC104" s="153"/>
      <c r="CD104" s="153"/>
      <c r="CE104" s="153"/>
      <c r="CF104" s="153"/>
      <c r="CG104" s="153"/>
      <c r="CH104" s="153"/>
      <c r="CI104" s="153"/>
      <c r="CJ104" s="153"/>
      <c r="CK104" s="154"/>
      <c r="CL104" s="153"/>
      <c r="CM104" s="153"/>
      <c r="CN104" s="153"/>
      <c r="CO104" s="153"/>
      <c r="CP104" s="153"/>
      <c r="CQ104" s="153"/>
      <c r="CR104" s="153"/>
      <c r="CS104" s="153"/>
      <c r="CT104" s="153"/>
      <c r="CU104" s="153"/>
      <c r="CV104" s="153"/>
      <c r="CW104" s="153"/>
      <c r="CX104" s="153"/>
      <c r="CY104" s="153"/>
      <c r="CZ104" s="153"/>
      <c r="DA104" s="153"/>
      <c r="DB104" s="62"/>
      <c r="DC104" s="62"/>
      <c r="DD104" s="62"/>
    </row>
    <row r="105" spans="2:108" ht="20" hidden="1" x14ac:dyDescent="0.2">
      <c r="E105" s="300"/>
      <c r="F105" s="300"/>
      <c r="G105" s="797"/>
      <c r="H105"/>
      <c r="I105"/>
      <c r="J105"/>
      <c r="K105"/>
      <c r="L105"/>
      <c r="M105"/>
      <c r="N105"/>
      <c r="O105" s="794"/>
      <c r="U105" s="97"/>
      <c r="AB105" s="97"/>
      <c r="AC105" s="97"/>
      <c r="AD105" s="97"/>
      <c r="AE105" s="97"/>
      <c r="BE105" s="119"/>
      <c r="BF105" s="119"/>
      <c r="BG105" s="119"/>
      <c r="BH105" s="119"/>
      <c r="BN105" s="69"/>
      <c r="BO105" s="863"/>
      <c r="BP105" s="146"/>
      <c r="BQ105" s="153"/>
      <c r="BR105" s="153"/>
      <c r="BS105" s="153"/>
      <c r="BT105" s="153"/>
      <c r="BU105" s="153"/>
      <c r="BV105" s="153"/>
      <c r="BW105" s="153"/>
      <c r="BX105" s="153"/>
      <c r="BY105" s="153"/>
      <c r="BZ105" s="153"/>
      <c r="CA105" s="153"/>
      <c r="CB105" s="153"/>
      <c r="CC105" s="153"/>
      <c r="CD105" s="153"/>
      <c r="CE105" s="153"/>
      <c r="CF105" s="153"/>
      <c r="CG105" s="153"/>
      <c r="CH105" s="153"/>
      <c r="CI105" s="153"/>
      <c r="CJ105" s="153"/>
      <c r="CK105" s="154"/>
      <c r="CL105" s="153"/>
      <c r="CM105" s="153"/>
      <c r="CN105" s="153"/>
      <c r="CO105" s="153"/>
      <c r="CP105" s="153"/>
      <c r="CQ105" s="153"/>
      <c r="CR105" s="153"/>
      <c r="CS105" s="153"/>
      <c r="CT105" s="153"/>
      <c r="CU105" s="153"/>
      <c r="CV105" s="153"/>
      <c r="CW105" s="153"/>
      <c r="CX105" s="153"/>
      <c r="CY105" s="153"/>
      <c r="CZ105" s="153"/>
      <c r="DA105" s="153"/>
      <c r="DB105" s="62"/>
      <c r="DC105" s="62"/>
      <c r="DD105" s="62"/>
    </row>
    <row r="106" spans="2:108" ht="20" hidden="1" x14ac:dyDescent="0.2">
      <c r="E106" s="300"/>
      <c r="F106" s="300"/>
      <c r="G106" s="797"/>
      <c r="H106"/>
      <c r="I106"/>
      <c r="J106"/>
      <c r="K106"/>
      <c r="L106"/>
      <c r="M106"/>
      <c r="N106"/>
      <c r="O106" s="794"/>
      <c r="U106" s="97"/>
      <c r="AB106" s="97"/>
      <c r="AC106" s="97"/>
      <c r="AD106" s="97"/>
      <c r="AE106" s="97"/>
      <c r="BE106" s="119"/>
      <c r="BF106" s="119"/>
      <c r="BG106" s="119"/>
      <c r="BH106" s="119"/>
      <c r="BN106" s="69"/>
      <c r="BO106" s="863"/>
      <c r="BP106" s="146"/>
      <c r="BQ106" s="153"/>
      <c r="BR106" s="153"/>
      <c r="BS106" s="153"/>
      <c r="BT106" s="153"/>
      <c r="BU106" s="153"/>
      <c r="BV106" s="153"/>
      <c r="BW106" s="153"/>
      <c r="BX106" s="153"/>
      <c r="BY106" s="153"/>
      <c r="BZ106" s="153"/>
      <c r="CA106" s="153"/>
      <c r="CB106" s="153"/>
      <c r="CC106" s="153"/>
      <c r="CD106" s="153"/>
      <c r="CE106" s="153"/>
      <c r="CF106" s="153"/>
      <c r="CG106" s="153"/>
      <c r="CH106" s="153"/>
      <c r="CI106" s="153"/>
      <c r="CJ106" s="153"/>
      <c r="CK106" s="154"/>
      <c r="CL106" s="153"/>
      <c r="CM106" s="153"/>
      <c r="CN106" s="153"/>
      <c r="CO106" s="153"/>
      <c r="CP106" s="153"/>
      <c r="CQ106" s="153"/>
      <c r="CR106" s="153"/>
      <c r="CS106" s="153"/>
      <c r="CT106" s="153"/>
      <c r="CU106" s="153"/>
      <c r="CV106" s="153"/>
      <c r="CW106" s="153"/>
      <c r="CX106" s="153"/>
      <c r="CY106" s="153"/>
      <c r="CZ106" s="153"/>
      <c r="DA106" s="153"/>
      <c r="DB106" s="62"/>
      <c r="DC106" s="62"/>
      <c r="DD106" s="62"/>
    </row>
    <row r="107" spans="2:108" ht="20" hidden="1" x14ac:dyDescent="0.2">
      <c r="E107" s="300"/>
      <c r="F107" s="300"/>
      <c r="G107" s="797"/>
      <c r="H107"/>
      <c r="I107"/>
      <c r="J107"/>
      <c r="K107"/>
      <c r="L107"/>
      <c r="M107"/>
      <c r="N107"/>
      <c r="O107" s="794"/>
      <c r="U107" s="97"/>
      <c r="AB107" s="97"/>
      <c r="AC107" s="97"/>
      <c r="AD107" s="97"/>
      <c r="AE107" s="97"/>
      <c r="BE107" s="119"/>
      <c r="BF107" s="119"/>
      <c r="BG107" s="119"/>
      <c r="BH107" s="119"/>
      <c r="BN107" s="69"/>
      <c r="BO107" s="863"/>
      <c r="BP107" s="146"/>
      <c r="BQ107" s="153"/>
      <c r="BR107" s="153"/>
      <c r="BS107" s="153"/>
      <c r="BT107" s="153"/>
      <c r="BU107" s="153"/>
      <c r="BV107" s="153"/>
      <c r="BW107" s="153"/>
      <c r="BX107" s="153"/>
      <c r="BY107" s="153"/>
      <c r="BZ107" s="153"/>
      <c r="CA107" s="153"/>
      <c r="CB107" s="153"/>
      <c r="CC107" s="153"/>
      <c r="CD107" s="153"/>
      <c r="CE107" s="153"/>
      <c r="CF107" s="153"/>
      <c r="CG107" s="153"/>
      <c r="CH107" s="153"/>
      <c r="CI107" s="153"/>
      <c r="CJ107" s="153"/>
      <c r="CK107" s="154"/>
      <c r="CL107" s="153"/>
      <c r="CM107" s="153"/>
      <c r="CN107" s="153"/>
      <c r="CO107" s="153"/>
      <c r="CP107" s="153"/>
      <c r="CQ107" s="153"/>
      <c r="CR107" s="153"/>
      <c r="CS107" s="153"/>
      <c r="CT107" s="153"/>
      <c r="CU107" s="153"/>
      <c r="CV107" s="153"/>
      <c r="CW107" s="153"/>
      <c r="CX107" s="153"/>
      <c r="CY107" s="153"/>
      <c r="CZ107" s="153"/>
      <c r="DA107" s="153"/>
      <c r="DB107" s="62"/>
      <c r="DC107" s="62"/>
      <c r="DD107" s="62"/>
    </row>
    <row r="108" spans="2:108" ht="20" hidden="1" x14ac:dyDescent="0.2">
      <c r="E108" s="300"/>
      <c r="F108" s="300"/>
      <c r="G108" s="797"/>
      <c r="H108"/>
      <c r="I108"/>
      <c r="J108"/>
      <c r="K108"/>
      <c r="L108"/>
      <c r="M108"/>
      <c r="N108"/>
      <c r="O108" s="794"/>
      <c r="U108" s="97"/>
      <c r="AB108" s="97"/>
      <c r="AC108" s="97"/>
      <c r="AD108" s="97"/>
      <c r="AE108" s="97"/>
      <c r="BE108" s="119"/>
      <c r="BF108" s="119"/>
      <c r="BG108" s="119"/>
      <c r="BH108" s="119"/>
      <c r="BN108" s="69"/>
      <c r="BO108" s="863"/>
      <c r="BP108" s="146"/>
      <c r="BQ108" s="153"/>
      <c r="BR108" s="153"/>
      <c r="BS108" s="153"/>
      <c r="BT108" s="153"/>
      <c r="BU108" s="153"/>
      <c r="BV108" s="153"/>
      <c r="BW108" s="153"/>
      <c r="BX108" s="153"/>
      <c r="BY108" s="153"/>
      <c r="BZ108" s="153"/>
      <c r="CA108" s="153"/>
      <c r="CB108" s="153"/>
      <c r="CC108" s="153"/>
      <c r="CD108" s="153"/>
      <c r="CE108" s="153"/>
      <c r="CF108" s="153"/>
      <c r="CG108" s="153"/>
      <c r="CH108" s="153"/>
      <c r="CI108" s="153"/>
      <c r="CJ108" s="153"/>
      <c r="CK108" s="154"/>
      <c r="CL108" s="153"/>
      <c r="CM108" s="153"/>
      <c r="CN108" s="153"/>
      <c r="CO108" s="153"/>
      <c r="CP108" s="153"/>
      <c r="CQ108" s="153"/>
      <c r="CR108" s="153"/>
      <c r="CS108" s="153"/>
      <c r="CT108" s="153"/>
      <c r="CU108" s="153"/>
      <c r="CV108" s="153"/>
      <c r="CW108" s="153"/>
      <c r="CX108" s="153"/>
      <c r="CY108" s="153"/>
      <c r="CZ108" s="153"/>
      <c r="DA108" s="153"/>
      <c r="DB108" s="62"/>
      <c r="DC108" s="62"/>
      <c r="DD108" s="62"/>
    </row>
    <row r="109" spans="2:108" ht="20" hidden="1" x14ac:dyDescent="0.2">
      <c r="E109" s="300"/>
      <c r="F109" s="300"/>
      <c r="G109" s="797"/>
      <c r="H109"/>
      <c r="I109"/>
      <c r="J109"/>
      <c r="K109"/>
      <c r="L109"/>
      <c r="M109"/>
      <c r="N109"/>
      <c r="O109" s="794"/>
      <c r="U109" s="97"/>
      <c r="AB109" s="97"/>
      <c r="AC109" s="97"/>
      <c r="AD109" s="97"/>
      <c r="AE109" s="97"/>
      <c r="BE109" s="119"/>
      <c r="BF109" s="119"/>
      <c r="BG109" s="119"/>
      <c r="BH109" s="119"/>
      <c r="BN109" s="69"/>
      <c r="BO109" s="863"/>
      <c r="BP109" s="146"/>
      <c r="BQ109" s="153"/>
      <c r="BR109" s="153"/>
      <c r="BS109" s="153"/>
      <c r="BT109" s="153"/>
      <c r="BU109" s="153"/>
      <c r="BV109" s="153"/>
      <c r="BW109" s="153"/>
      <c r="BX109" s="153"/>
      <c r="BY109" s="153"/>
      <c r="BZ109" s="153"/>
      <c r="CA109" s="153"/>
      <c r="CB109" s="153"/>
      <c r="CC109" s="153"/>
      <c r="CD109" s="153"/>
      <c r="CE109" s="153"/>
      <c r="CF109" s="153"/>
      <c r="CG109" s="153"/>
      <c r="CH109" s="153"/>
      <c r="CI109" s="153"/>
      <c r="CJ109" s="153"/>
      <c r="CK109" s="154"/>
      <c r="CL109" s="153"/>
      <c r="CM109" s="153"/>
      <c r="CN109" s="153"/>
      <c r="CO109" s="153"/>
      <c r="CP109" s="153"/>
      <c r="CQ109" s="153"/>
      <c r="CR109" s="153"/>
      <c r="CS109" s="153"/>
      <c r="CT109" s="153"/>
      <c r="CU109" s="153"/>
      <c r="CV109" s="153"/>
      <c r="CW109" s="153"/>
      <c r="CX109" s="153"/>
      <c r="CY109" s="153"/>
      <c r="CZ109" s="153"/>
      <c r="DA109" s="153"/>
      <c r="DB109" s="62"/>
      <c r="DC109" s="62"/>
      <c r="DD109" s="62"/>
    </row>
    <row r="110" spans="2:108" ht="20" hidden="1" x14ac:dyDescent="0.2">
      <c r="E110" s="300"/>
      <c r="F110" s="300"/>
      <c r="G110" s="797"/>
      <c r="H110"/>
      <c r="I110"/>
      <c r="J110"/>
      <c r="K110"/>
      <c r="L110"/>
      <c r="M110"/>
      <c r="N110"/>
      <c r="O110" s="794"/>
      <c r="U110" s="97"/>
      <c r="AB110" s="97"/>
      <c r="AC110" s="97"/>
      <c r="AD110" s="97"/>
      <c r="AE110" s="97"/>
      <c r="BE110" s="119"/>
      <c r="BF110" s="119"/>
      <c r="BG110" s="119"/>
      <c r="BH110" s="119"/>
      <c r="BN110" s="69"/>
      <c r="BO110" s="863"/>
      <c r="BP110" s="146"/>
      <c r="BQ110" s="153"/>
      <c r="BR110" s="153"/>
      <c r="BS110" s="153"/>
      <c r="BT110" s="153"/>
      <c r="BU110" s="153"/>
      <c r="BV110" s="153"/>
      <c r="BW110" s="153"/>
      <c r="BX110" s="153"/>
      <c r="BY110" s="153"/>
      <c r="BZ110" s="153"/>
      <c r="CA110" s="153"/>
      <c r="CB110" s="153"/>
      <c r="CC110" s="153"/>
      <c r="CD110" s="153"/>
      <c r="CE110" s="153"/>
      <c r="CF110" s="153"/>
      <c r="CG110" s="153"/>
      <c r="CH110" s="153"/>
      <c r="CI110" s="153"/>
      <c r="CJ110" s="153"/>
      <c r="CK110" s="154"/>
      <c r="CL110" s="153"/>
      <c r="CM110" s="153"/>
      <c r="CN110" s="153"/>
      <c r="CO110" s="153"/>
      <c r="CP110" s="153"/>
      <c r="CQ110" s="153"/>
      <c r="CR110" s="153"/>
      <c r="CS110" s="153"/>
      <c r="CT110" s="153"/>
      <c r="CU110" s="153"/>
      <c r="CV110" s="153"/>
      <c r="CW110" s="153"/>
      <c r="CX110" s="153"/>
      <c r="CY110" s="153"/>
      <c r="CZ110" s="153"/>
      <c r="DA110" s="153"/>
      <c r="DB110" s="62"/>
      <c r="DC110" s="62"/>
      <c r="DD110" s="62"/>
    </row>
    <row r="111" spans="2:108" ht="20" hidden="1" x14ac:dyDescent="0.2">
      <c r="E111" s="300"/>
      <c r="F111" s="300"/>
      <c r="G111" s="797"/>
      <c r="H111"/>
      <c r="I111"/>
      <c r="J111"/>
      <c r="K111"/>
      <c r="L111"/>
      <c r="M111"/>
      <c r="N111"/>
      <c r="O111" s="794"/>
      <c r="U111" s="97"/>
      <c r="AB111" s="97"/>
      <c r="AC111" s="97"/>
      <c r="AD111" s="97"/>
      <c r="AE111" s="97"/>
      <c r="BE111" s="119"/>
      <c r="BF111" s="119"/>
      <c r="BG111" s="119"/>
      <c r="BH111" s="119"/>
      <c r="BN111" s="69"/>
      <c r="BO111" s="863"/>
      <c r="BP111" s="146"/>
      <c r="BQ111" s="153"/>
      <c r="BR111" s="153"/>
      <c r="BS111" s="153"/>
      <c r="BT111" s="153"/>
      <c r="BU111" s="153"/>
      <c r="BV111" s="153"/>
      <c r="BW111" s="153"/>
      <c r="BX111" s="153"/>
      <c r="BY111" s="153"/>
      <c r="BZ111" s="153"/>
      <c r="CA111" s="153"/>
      <c r="CB111" s="153"/>
      <c r="CC111" s="153"/>
      <c r="CD111" s="153"/>
      <c r="CE111" s="153"/>
      <c r="CF111" s="153"/>
      <c r="CG111" s="153"/>
      <c r="CH111" s="153"/>
      <c r="CI111" s="153"/>
      <c r="CJ111" s="153"/>
      <c r="CK111" s="154"/>
      <c r="CL111" s="153"/>
      <c r="CM111" s="153"/>
      <c r="CN111" s="153"/>
      <c r="CO111" s="153"/>
      <c r="CP111" s="153"/>
      <c r="CQ111" s="153"/>
      <c r="CR111" s="153"/>
      <c r="CS111" s="153"/>
      <c r="CT111" s="153"/>
      <c r="CU111" s="153"/>
      <c r="CV111" s="153"/>
      <c r="CW111" s="153"/>
      <c r="CX111" s="153"/>
      <c r="CY111" s="153"/>
      <c r="CZ111" s="153"/>
      <c r="DA111" s="153"/>
      <c r="DB111" s="62"/>
      <c r="DC111" s="62"/>
      <c r="DD111" s="62"/>
    </row>
    <row r="112" spans="2:108" ht="20" hidden="1" x14ac:dyDescent="0.2">
      <c r="E112" s="300"/>
      <c r="F112" s="300"/>
      <c r="G112" s="797"/>
      <c r="H112"/>
      <c r="I112"/>
      <c r="J112"/>
      <c r="K112"/>
      <c r="L112"/>
      <c r="M112"/>
      <c r="N112"/>
      <c r="O112" s="794"/>
      <c r="U112" s="97"/>
      <c r="AB112" s="97"/>
      <c r="AC112" s="97"/>
      <c r="AD112" s="97"/>
      <c r="AE112" s="97"/>
      <c r="BE112" s="119"/>
      <c r="BF112" s="119"/>
      <c r="BG112" s="119"/>
      <c r="BH112" s="119"/>
      <c r="BN112" s="69"/>
      <c r="BO112" s="863"/>
      <c r="BP112" s="146"/>
      <c r="BQ112" s="153"/>
      <c r="BR112" s="153"/>
      <c r="BS112" s="153"/>
      <c r="BT112" s="153"/>
      <c r="BU112" s="153"/>
      <c r="BV112" s="153"/>
      <c r="BW112" s="153"/>
      <c r="BX112" s="153"/>
      <c r="BY112" s="153"/>
      <c r="BZ112" s="153"/>
      <c r="CA112" s="153"/>
      <c r="CB112" s="153"/>
      <c r="CC112" s="153"/>
      <c r="CD112" s="153"/>
      <c r="CE112" s="153"/>
      <c r="CF112" s="153"/>
      <c r="CG112" s="153"/>
      <c r="CH112" s="153"/>
      <c r="CI112" s="153"/>
      <c r="CJ112" s="153"/>
      <c r="CK112" s="154"/>
      <c r="CL112" s="153"/>
      <c r="CM112" s="153"/>
      <c r="CN112" s="153"/>
      <c r="CO112" s="153"/>
      <c r="CP112" s="153"/>
      <c r="CQ112" s="153"/>
      <c r="CR112" s="153"/>
      <c r="CS112" s="153"/>
      <c r="CT112" s="153"/>
      <c r="CU112" s="153"/>
      <c r="CV112" s="153"/>
      <c r="CW112" s="153"/>
      <c r="CX112" s="153"/>
      <c r="CY112" s="153"/>
      <c r="CZ112" s="153"/>
      <c r="DA112" s="153"/>
      <c r="DB112" s="62"/>
      <c r="DC112" s="62"/>
      <c r="DD112" s="62"/>
    </row>
    <row r="113" spans="5:108" ht="20" hidden="1" x14ac:dyDescent="0.2">
      <c r="E113" s="300"/>
      <c r="F113" s="300"/>
      <c r="G113" s="797"/>
      <c r="H113"/>
      <c r="I113"/>
      <c r="J113"/>
      <c r="K113"/>
      <c r="L113"/>
      <c r="M113"/>
      <c r="N113"/>
      <c r="O113" s="794"/>
      <c r="U113" s="97"/>
      <c r="AB113" s="97"/>
      <c r="AC113" s="97"/>
      <c r="AD113" s="97"/>
      <c r="AE113" s="97"/>
      <c r="BE113" s="119"/>
      <c r="BF113" s="119"/>
      <c r="BG113" s="119"/>
      <c r="BH113" s="119"/>
      <c r="BN113" s="69"/>
      <c r="BO113" s="863"/>
      <c r="BP113" s="146"/>
      <c r="BQ113" s="153"/>
      <c r="BR113" s="153"/>
      <c r="BS113" s="153"/>
      <c r="BT113" s="153"/>
      <c r="BU113" s="153"/>
      <c r="BV113" s="153"/>
      <c r="BW113" s="153"/>
      <c r="BX113" s="153"/>
      <c r="BY113" s="153"/>
      <c r="BZ113" s="153"/>
      <c r="CA113" s="153"/>
      <c r="CB113" s="153"/>
      <c r="CC113" s="153"/>
      <c r="CD113" s="153"/>
      <c r="CE113" s="153"/>
      <c r="CF113" s="153"/>
      <c r="CG113" s="153"/>
      <c r="CH113" s="153"/>
      <c r="CI113" s="153"/>
      <c r="CJ113" s="153"/>
      <c r="CK113" s="154"/>
      <c r="CL113" s="153"/>
      <c r="CM113" s="153"/>
      <c r="CN113" s="153"/>
      <c r="CO113" s="153"/>
      <c r="CP113" s="153"/>
      <c r="CQ113" s="153"/>
      <c r="CR113" s="153"/>
      <c r="CS113" s="153"/>
      <c r="CT113" s="153"/>
      <c r="CU113" s="153"/>
      <c r="CV113" s="153"/>
      <c r="CW113" s="153"/>
      <c r="CX113" s="153"/>
      <c r="CY113" s="153"/>
      <c r="CZ113" s="153"/>
      <c r="DA113" s="153"/>
      <c r="DB113" s="62"/>
      <c r="DC113" s="62"/>
      <c r="DD113" s="62"/>
    </row>
    <row r="114" spans="5:108" ht="20" hidden="1" x14ac:dyDescent="0.2">
      <c r="E114" s="300"/>
      <c r="F114" s="300"/>
      <c r="G114" s="797"/>
      <c r="H114"/>
      <c r="I114"/>
      <c r="J114"/>
      <c r="K114"/>
      <c r="L114"/>
      <c r="M114"/>
      <c r="N114"/>
      <c r="O114" s="794"/>
      <c r="U114" s="97"/>
      <c r="AB114" s="97"/>
      <c r="AC114" s="97"/>
      <c r="AD114" s="97"/>
      <c r="AE114" s="97"/>
      <c r="BE114" s="119"/>
      <c r="BF114" s="119"/>
      <c r="BG114" s="119"/>
      <c r="BH114" s="119"/>
      <c r="BN114" s="69"/>
      <c r="BO114" s="863"/>
      <c r="BP114" s="146"/>
      <c r="BQ114" s="153"/>
      <c r="BR114" s="153"/>
      <c r="BS114" s="153"/>
      <c r="BT114" s="153"/>
      <c r="BU114" s="153"/>
      <c r="BV114" s="153"/>
      <c r="BW114" s="153"/>
      <c r="BX114" s="153"/>
      <c r="BY114" s="153"/>
      <c r="BZ114" s="153"/>
      <c r="CA114" s="153"/>
      <c r="CB114" s="153"/>
      <c r="CC114" s="153"/>
      <c r="CD114" s="153"/>
      <c r="CE114" s="153"/>
      <c r="CF114" s="153"/>
      <c r="CG114" s="153"/>
      <c r="CH114" s="153"/>
      <c r="CI114" s="153"/>
      <c r="CJ114" s="153"/>
      <c r="CK114" s="154"/>
      <c r="CL114" s="153"/>
      <c r="CM114" s="153"/>
      <c r="CN114" s="153"/>
      <c r="CO114" s="153"/>
      <c r="CP114" s="153"/>
      <c r="CQ114" s="153"/>
      <c r="CR114" s="153"/>
      <c r="CS114" s="153"/>
      <c r="CT114" s="153"/>
      <c r="CU114" s="153"/>
      <c r="CV114" s="153"/>
      <c r="CW114" s="153"/>
      <c r="CX114" s="153"/>
      <c r="CY114" s="153"/>
      <c r="CZ114" s="153"/>
      <c r="DA114" s="153"/>
      <c r="DB114" s="62"/>
      <c r="DC114" s="62"/>
      <c r="DD114" s="62"/>
    </row>
    <row r="115" spans="5:108" ht="20" hidden="1" x14ac:dyDescent="0.2">
      <c r="E115" s="300"/>
      <c r="F115" s="300"/>
      <c r="G115" s="797"/>
      <c r="H115"/>
      <c r="I115"/>
      <c r="J115"/>
      <c r="K115"/>
      <c r="L115"/>
      <c r="M115"/>
      <c r="N115"/>
      <c r="O115" s="794"/>
      <c r="U115" s="97"/>
      <c r="AB115" s="97"/>
      <c r="AC115" s="97"/>
      <c r="AD115" s="97"/>
      <c r="AE115" s="97"/>
      <c r="BE115" s="119"/>
      <c r="BF115" s="119"/>
      <c r="BG115" s="119"/>
      <c r="BH115" s="119"/>
      <c r="BN115" s="69"/>
      <c r="BO115" s="863"/>
      <c r="BP115" s="146"/>
      <c r="BQ115" s="153"/>
      <c r="BR115" s="153"/>
      <c r="BS115" s="153"/>
      <c r="BT115" s="153"/>
      <c r="BU115" s="153"/>
      <c r="BV115" s="153"/>
      <c r="BW115" s="153"/>
      <c r="BX115" s="153"/>
      <c r="BY115" s="153"/>
      <c r="BZ115" s="153"/>
      <c r="CA115" s="153"/>
      <c r="CB115" s="153"/>
      <c r="CC115" s="153"/>
      <c r="CD115" s="153"/>
      <c r="CE115" s="153"/>
      <c r="CF115" s="153"/>
      <c r="CG115" s="153"/>
      <c r="CH115" s="153"/>
      <c r="CI115" s="153"/>
      <c r="CJ115" s="153"/>
      <c r="CK115" s="154"/>
      <c r="CL115" s="153"/>
      <c r="CM115" s="153"/>
      <c r="CN115" s="153"/>
      <c r="CO115" s="153"/>
      <c r="CP115" s="153"/>
      <c r="CQ115" s="153"/>
      <c r="CR115" s="153"/>
      <c r="CS115" s="153"/>
      <c r="CT115" s="153"/>
      <c r="CU115" s="153"/>
      <c r="CV115" s="153"/>
      <c r="CW115" s="153"/>
      <c r="CX115" s="153"/>
      <c r="CY115" s="153"/>
      <c r="CZ115" s="153"/>
      <c r="DA115" s="153"/>
      <c r="DB115" s="62"/>
      <c r="DC115" s="62"/>
      <c r="DD115" s="62"/>
    </row>
    <row r="116" spans="5:108" ht="20" hidden="1" x14ac:dyDescent="0.2">
      <c r="E116" s="300"/>
      <c r="F116" s="300"/>
      <c r="G116" s="797"/>
      <c r="H116"/>
      <c r="I116"/>
      <c r="J116"/>
      <c r="K116"/>
      <c r="L116"/>
      <c r="M116"/>
      <c r="N116"/>
      <c r="O116" s="794"/>
      <c r="U116" s="97"/>
      <c r="AB116" s="97"/>
      <c r="AC116" s="97"/>
      <c r="AD116" s="97"/>
      <c r="AE116" s="97"/>
      <c r="BE116" s="119"/>
      <c r="BF116" s="119"/>
      <c r="BG116" s="119"/>
      <c r="BH116" s="119"/>
      <c r="BN116" s="69"/>
      <c r="BO116" s="863"/>
      <c r="BP116" s="146"/>
      <c r="BQ116" s="153"/>
      <c r="BR116" s="153"/>
      <c r="BS116" s="153"/>
      <c r="BT116" s="153"/>
      <c r="BU116" s="153"/>
      <c r="BV116" s="153"/>
      <c r="BW116" s="153"/>
      <c r="BX116" s="153"/>
      <c r="BY116" s="153"/>
      <c r="BZ116" s="153"/>
      <c r="CA116" s="153"/>
      <c r="CB116" s="153"/>
      <c r="CC116" s="153"/>
      <c r="CD116" s="153"/>
      <c r="CE116" s="153"/>
      <c r="CF116" s="153"/>
      <c r="CG116" s="153"/>
      <c r="CH116" s="153"/>
      <c r="CI116" s="153"/>
      <c r="CJ116" s="153"/>
      <c r="CK116" s="154"/>
      <c r="CL116" s="153"/>
      <c r="CM116" s="153"/>
      <c r="CN116" s="153"/>
      <c r="CO116" s="153"/>
      <c r="CP116" s="153"/>
      <c r="CQ116" s="153"/>
      <c r="CR116" s="153"/>
      <c r="CS116" s="153"/>
      <c r="CT116" s="153"/>
      <c r="CU116" s="153"/>
      <c r="CV116" s="153"/>
      <c r="CW116" s="153"/>
      <c r="CX116" s="153"/>
      <c r="CY116" s="153"/>
      <c r="CZ116" s="153"/>
      <c r="DA116" s="153"/>
      <c r="DB116" s="62"/>
      <c r="DC116" s="62"/>
      <c r="DD116" s="62"/>
    </row>
    <row r="117" spans="5:108" ht="20" hidden="1" x14ac:dyDescent="0.2">
      <c r="E117" s="300"/>
      <c r="F117" s="300"/>
      <c r="G117" s="797"/>
      <c r="H117"/>
      <c r="I117"/>
      <c r="J117"/>
      <c r="K117"/>
      <c r="L117"/>
      <c r="M117"/>
      <c r="N117"/>
      <c r="O117" s="794"/>
      <c r="U117" s="97"/>
      <c r="AB117" s="97"/>
      <c r="AC117" s="97"/>
      <c r="AD117" s="97"/>
      <c r="AE117" s="97"/>
      <c r="BE117" s="119"/>
      <c r="BF117" s="119"/>
      <c r="BG117" s="119"/>
      <c r="BH117" s="119"/>
      <c r="BN117" s="69"/>
      <c r="BO117" s="863"/>
      <c r="BP117" s="146"/>
      <c r="BQ117" s="153"/>
      <c r="BR117" s="153"/>
      <c r="BS117" s="153"/>
      <c r="BT117" s="153"/>
      <c r="BU117" s="153"/>
      <c r="BV117" s="153"/>
      <c r="BW117" s="153"/>
      <c r="BX117" s="153"/>
      <c r="BY117" s="153"/>
      <c r="BZ117" s="153"/>
      <c r="CA117" s="153"/>
      <c r="CB117" s="153"/>
      <c r="CC117" s="153"/>
      <c r="CD117" s="153"/>
      <c r="CE117" s="153"/>
      <c r="CF117" s="153"/>
      <c r="CG117" s="153"/>
      <c r="CH117" s="153"/>
      <c r="CI117" s="153"/>
      <c r="CJ117" s="153"/>
      <c r="CK117" s="154"/>
      <c r="CL117" s="153"/>
      <c r="CM117" s="153"/>
      <c r="CN117" s="153"/>
      <c r="CO117" s="153"/>
      <c r="CP117" s="153"/>
      <c r="CQ117" s="153"/>
      <c r="CR117" s="153"/>
      <c r="CS117" s="153"/>
      <c r="CT117" s="153"/>
      <c r="CU117" s="153"/>
      <c r="CV117" s="153"/>
      <c r="CW117" s="153"/>
      <c r="CX117" s="153"/>
      <c r="CY117" s="153"/>
      <c r="CZ117" s="153"/>
      <c r="DA117" s="153"/>
      <c r="DB117" s="62"/>
      <c r="DC117" s="62"/>
      <c r="DD117" s="62"/>
    </row>
    <row r="118" spans="5:108" ht="20" hidden="1" x14ac:dyDescent="0.2">
      <c r="E118" s="300"/>
      <c r="F118" s="300"/>
      <c r="G118" s="797"/>
      <c r="H118"/>
      <c r="I118"/>
      <c r="J118"/>
      <c r="K118"/>
      <c r="L118"/>
      <c r="M118"/>
      <c r="N118"/>
      <c r="O118" s="794"/>
      <c r="U118" s="97"/>
      <c r="AB118" s="97"/>
      <c r="AC118" s="97"/>
      <c r="AD118" s="97"/>
      <c r="AE118" s="97"/>
      <c r="BE118" s="119"/>
      <c r="BF118" s="119"/>
      <c r="BG118" s="119"/>
      <c r="BH118" s="119"/>
      <c r="BN118" s="69"/>
      <c r="BO118" s="863"/>
      <c r="BP118" s="146"/>
      <c r="BQ118" s="153"/>
      <c r="BR118" s="153"/>
      <c r="BS118" s="153"/>
      <c r="BT118" s="153"/>
      <c r="BU118" s="153"/>
      <c r="BV118" s="153"/>
      <c r="BW118" s="153"/>
      <c r="BX118" s="153"/>
      <c r="BY118" s="153"/>
      <c r="BZ118" s="153"/>
      <c r="CA118" s="153"/>
      <c r="CB118" s="153"/>
      <c r="CC118" s="153"/>
      <c r="CD118" s="153"/>
      <c r="CE118" s="153"/>
      <c r="CF118" s="153"/>
      <c r="CG118" s="153"/>
      <c r="CH118" s="153"/>
      <c r="CI118" s="153"/>
      <c r="CJ118" s="153"/>
      <c r="CK118" s="154"/>
      <c r="CL118" s="153"/>
      <c r="CM118" s="153"/>
      <c r="CN118" s="153"/>
      <c r="CO118" s="153"/>
      <c r="CP118" s="153"/>
      <c r="CQ118" s="153"/>
      <c r="CR118" s="153"/>
      <c r="CS118" s="153"/>
      <c r="CT118" s="153"/>
      <c r="CU118" s="153"/>
      <c r="CV118" s="153"/>
      <c r="CW118" s="153"/>
      <c r="CX118" s="153"/>
      <c r="CY118" s="153"/>
      <c r="CZ118" s="153"/>
      <c r="DA118" s="153"/>
      <c r="DB118" s="62"/>
      <c r="DC118" s="62"/>
      <c r="DD118" s="62"/>
    </row>
    <row r="119" spans="5:108" ht="20" hidden="1" x14ac:dyDescent="0.2">
      <c r="E119" s="300"/>
      <c r="F119" s="300"/>
      <c r="G119" s="797"/>
      <c r="H119"/>
      <c r="I119"/>
      <c r="J119"/>
      <c r="K119"/>
      <c r="L119"/>
      <c r="M119"/>
      <c r="N119"/>
      <c r="O119" s="794"/>
      <c r="U119" s="97"/>
      <c r="AB119" s="97"/>
      <c r="AC119" s="97"/>
      <c r="AD119" s="97"/>
      <c r="AE119" s="97"/>
      <c r="BE119" s="119"/>
      <c r="BF119" s="119"/>
      <c r="BG119" s="119"/>
      <c r="BH119" s="119"/>
      <c r="BN119" s="69"/>
      <c r="BO119" s="863"/>
      <c r="BP119" s="146"/>
      <c r="BQ119" s="153"/>
      <c r="BR119" s="153"/>
      <c r="BS119" s="153"/>
      <c r="BT119" s="153"/>
      <c r="BU119" s="153"/>
      <c r="BV119" s="153"/>
      <c r="BW119" s="153"/>
      <c r="BX119" s="153"/>
      <c r="BY119" s="153"/>
      <c r="BZ119" s="153"/>
      <c r="CA119" s="153"/>
      <c r="CB119" s="153"/>
      <c r="CC119" s="153"/>
      <c r="CD119" s="153"/>
      <c r="CE119" s="153"/>
      <c r="CF119" s="153"/>
      <c r="CG119" s="153"/>
      <c r="CH119" s="153"/>
      <c r="CI119" s="153"/>
      <c r="CJ119" s="153"/>
      <c r="CK119" s="154"/>
      <c r="CL119" s="153"/>
      <c r="CM119" s="153"/>
      <c r="CN119" s="153"/>
      <c r="CO119" s="153"/>
      <c r="CP119" s="153"/>
      <c r="CQ119" s="153"/>
      <c r="CR119" s="153"/>
      <c r="CS119" s="153"/>
      <c r="CT119" s="153"/>
      <c r="CU119" s="153"/>
      <c r="CV119" s="153"/>
      <c r="CW119" s="153"/>
      <c r="CX119" s="153"/>
      <c r="CY119" s="153"/>
      <c r="CZ119" s="153"/>
      <c r="DA119" s="153"/>
      <c r="DB119" s="62"/>
      <c r="DC119" s="62"/>
      <c r="DD119" s="62"/>
    </row>
    <row r="120" spans="5:108" ht="20" hidden="1" x14ac:dyDescent="0.2">
      <c r="E120" s="300"/>
      <c r="F120" s="300"/>
      <c r="G120" s="797"/>
      <c r="H120"/>
      <c r="I120"/>
      <c r="J120"/>
      <c r="K120"/>
      <c r="L120"/>
      <c r="M120"/>
      <c r="N120"/>
      <c r="O120" s="794"/>
      <c r="U120" s="97"/>
      <c r="AB120" s="97"/>
      <c r="AC120" s="97"/>
      <c r="AD120" s="97"/>
      <c r="AE120" s="97"/>
      <c r="BE120" s="119"/>
      <c r="BF120" s="119"/>
      <c r="BG120" s="119"/>
      <c r="BH120" s="119"/>
      <c r="BN120" s="69"/>
      <c r="BO120" s="863"/>
      <c r="BP120" s="146"/>
      <c r="BQ120" s="153"/>
      <c r="BR120" s="153"/>
      <c r="BS120" s="153"/>
      <c r="BT120" s="153"/>
      <c r="BU120" s="153"/>
      <c r="BV120" s="153"/>
      <c r="BW120" s="153"/>
      <c r="BX120" s="153"/>
      <c r="BY120" s="153"/>
      <c r="BZ120" s="153"/>
      <c r="CA120" s="153"/>
      <c r="CB120" s="153"/>
      <c r="CC120" s="153"/>
      <c r="CD120" s="153"/>
      <c r="CE120" s="153"/>
      <c r="CF120" s="153"/>
      <c r="CG120" s="153"/>
      <c r="CH120" s="153"/>
      <c r="CI120" s="153"/>
      <c r="CJ120" s="153"/>
      <c r="CK120" s="154"/>
      <c r="CL120" s="153"/>
      <c r="CM120" s="153"/>
      <c r="CN120" s="153"/>
      <c r="CO120" s="153"/>
      <c r="CP120" s="153"/>
      <c r="CQ120" s="153"/>
      <c r="CR120" s="153"/>
      <c r="CS120" s="153"/>
      <c r="CT120" s="153"/>
      <c r="CU120" s="153"/>
      <c r="CV120" s="153"/>
      <c r="CW120" s="153"/>
      <c r="CX120" s="153"/>
      <c r="CY120" s="153"/>
      <c r="CZ120" s="153"/>
      <c r="DA120" s="153"/>
      <c r="DB120" s="62"/>
      <c r="DC120" s="62"/>
      <c r="DD120" s="62"/>
    </row>
    <row r="121" spans="5:108" ht="20" hidden="1" x14ac:dyDescent="0.2">
      <c r="E121" s="300"/>
      <c r="F121" s="300"/>
      <c r="G121" s="797"/>
      <c r="H121"/>
      <c r="I121"/>
      <c r="J121"/>
      <c r="K121"/>
      <c r="L121"/>
      <c r="M121"/>
      <c r="N121"/>
      <c r="O121" s="794"/>
      <c r="U121" s="97"/>
      <c r="AB121" s="97"/>
      <c r="AC121" s="97"/>
      <c r="AD121" s="97"/>
      <c r="AE121" s="97"/>
      <c r="BE121" s="119"/>
      <c r="BF121" s="119"/>
      <c r="BG121" s="119"/>
      <c r="BH121" s="119"/>
      <c r="BN121" s="69"/>
      <c r="BO121" s="863"/>
      <c r="BP121" s="146"/>
      <c r="BQ121" s="153"/>
      <c r="BR121" s="153"/>
      <c r="BS121" s="153"/>
      <c r="BT121" s="153"/>
      <c r="BU121" s="153"/>
      <c r="BV121" s="153"/>
      <c r="BW121" s="153"/>
      <c r="BX121" s="153"/>
      <c r="BY121" s="153"/>
      <c r="BZ121" s="153"/>
      <c r="CA121" s="153"/>
      <c r="CB121" s="153"/>
      <c r="CC121" s="153"/>
      <c r="CD121" s="153"/>
      <c r="CE121" s="153"/>
      <c r="CF121" s="153"/>
      <c r="CG121" s="153"/>
      <c r="CH121" s="153"/>
      <c r="CI121" s="153"/>
      <c r="CJ121" s="153"/>
      <c r="CK121" s="154"/>
      <c r="CL121" s="153"/>
      <c r="CM121" s="153"/>
      <c r="CN121" s="153"/>
      <c r="CO121" s="153"/>
      <c r="CP121" s="153"/>
      <c r="CQ121" s="153"/>
      <c r="CR121" s="153"/>
      <c r="CS121" s="153"/>
      <c r="CT121" s="153"/>
      <c r="CU121" s="153"/>
      <c r="CV121" s="153"/>
      <c r="CW121" s="153"/>
      <c r="CX121" s="153"/>
      <c r="CY121" s="153"/>
      <c r="CZ121" s="153"/>
      <c r="DA121" s="153"/>
      <c r="DB121" s="62"/>
      <c r="DC121" s="62"/>
      <c r="DD121" s="62"/>
    </row>
    <row r="122" spans="5:108" ht="20" hidden="1" x14ac:dyDescent="0.2">
      <c r="E122" s="300"/>
      <c r="F122" s="300"/>
      <c r="G122" s="797"/>
      <c r="H122"/>
      <c r="I122"/>
      <c r="J122"/>
      <c r="K122"/>
      <c r="L122"/>
      <c r="M122"/>
      <c r="N122"/>
      <c r="O122" s="794"/>
      <c r="U122" s="97"/>
      <c r="AB122" s="97"/>
      <c r="AC122" s="97"/>
      <c r="AD122" s="97"/>
      <c r="AE122" s="97"/>
      <c r="BE122" s="119"/>
      <c r="BF122" s="119"/>
      <c r="BG122" s="119"/>
      <c r="BH122" s="119"/>
      <c r="BN122" s="69"/>
      <c r="BO122" s="863"/>
      <c r="BP122" s="146"/>
      <c r="BQ122" s="153"/>
      <c r="BR122" s="153"/>
      <c r="BS122" s="153"/>
      <c r="BT122" s="153"/>
      <c r="BU122" s="153"/>
      <c r="BV122" s="153"/>
      <c r="BW122" s="153"/>
      <c r="BX122" s="153"/>
      <c r="BY122" s="153"/>
      <c r="BZ122" s="153"/>
      <c r="CA122" s="153"/>
      <c r="CB122" s="153"/>
      <c r="CC122" s="153"/>
      <c r="CD122" s="153"/>
      <c r="CE122" s="153"/>
      <c r="CF122" s="153"/>
      <c r="CG122" s="153"/>
      <c r="CH122" s="153"/>
      <c r="CI122" s="153"/>
      <c r="CJ122" s="153"/>
      <c r="CK122" s="154"/>
      <c r="CL122" s="153"/>
      <c r="CM122" s="153"/>
      <c r="CN122" s="153"/>
      <c r="CO122" s="153"/>
      <c r="CP122" s="153"/>
      <c r="CQ122" s="153"/>
      <c r="CR122" s="153"/>
      <c r="CS122" s="153"/>
      <c r="CT122" s="153"/>
      <c r="CU122" s="153"/>
      <c r="CV122" s="153"/>
      <c r="CW122" s="153"/>
      <c r="CX122" s="153"/>
      <c r="CY122" s="153"/>
      <c r="CZ122" s="153"/>
      <c r="DA122" s="153"/>
      <c r="DB122" s="62"/>
      <c r="DC122" s="62"/>
      <c r="DD122" s="62"/>
    </row>
    <row r="123" spans="5:108" ht="20" hidden="1" x14ac:dyDescent="0.2">
      <c r="E123" s="300"/>
      <c r="F123" s="300"/>
      <c r="G123" s="797"/>
      <c r="H123"/>
      <c r="I123"/>
      <c r="J123"/>
      <c r="K123"/>
      <c r="L123"/>
      <c r="M123"/>
      <c r="N123"/>
      <c r="O123" s="794"/>
      <c r="U123" s="97"/>
      <c r="AB123" s="97"/>
      <c r="AC123" s="97"/>
      <c r="AD123" s="97"/>
      <c r="AE123" s="97"/>
      <c r="BE123" s="119"/>
      <c r="BF123" s="119"/>
      <c r="BG123" s="119"/>
      <c r="BH123" s="119"/>
      <c r="BN123" s="69"/>
      <c r="BO123" s="863"/>
      <c r="BP123" s="146"/>
      <c r="BQ123" s="153"/>
      <c r="BR123" s="153"/>
      <c r="BS123" s="153"/>
      <c r="BT123" s="153"/>
      <c r="BU123" s="153"/>
      <c r="BV123" s="153"/>
      <c r="BW123" s="153"/>
      <c r="BX123" s="153"/>
      <c r="BY123" s="153"/>
      <c r="BZ123" s="153"/>
      <c r="CA123" s="153"/>
      <c r="CB123" s="153"/>
      <c r="CC123" s="153"/>
      <c r="CD123" s="153"/>
      <c r="CE123" s="153"/>
      <c r="CF123" s="153"/>
      <c r="CG123" s="153"/>
      <c r="CH123" s="153"/>
      <c r="CI123" s="153"/>
      <c r="CJ123" s="153"/>
      <c r="CK123" s="154"/>
      <c r="CL123" s="153"/>
      <c r="CM123" s="153"/>
      <c r="CN123" s="153"/>
      <c r="CO123" s="153"/>
      <c r="CP123" s="153"/>
      <c r="CQ123" s="153"/>
      <c r="CR123" s="153"/>
      <c r="CS123" s="153"/>
      <c r="CT123" s="153"/>
      <c r="CU123" s="153"/>
      <c r="CV123" s="153"/>
      <c r="CW123" s="153"/>
      <c r="CX123" s="153"/>
      <c r="CY123" s="153"/>
      <c r="CZ123" s="153"/>
      <c r="DA123" s="153"/>
      <c r="DB123" s="62"/>
      <c r="DC123" s="62"/>
      <c r="DD123" s="62"/>
    </row>
    <row r="124" spans="5:108" ht="231" hidden="1" x14ac:dyDescent="0.2">
      <c r="E124" s="300"/>
      <c r="F124" s="300"/>
      <c r="G124" s="797"/>
      <c r="H124"/>
      <c r="I124" s="808" t="s">
        <v>192</v>
      </c>
      <c r="J124" s="808" t="s">
        <v>191</v>
      </c>
      <c r="K124" s="774" t="s">
        <v>193</v>
      </c>
      <c r="L124" s="775" t="s">
        <v>194</v>
      </c>
      <c r="M124" s="784" t="s">
        <v>198</v>
      </c>
      <c r="N124"/>
      <c r="O124" s="794"/>
      <c r="U124" s="97"/>
      <c r="AB124" s="97"/>
      <c r="AC124" s="97"/>
      <c r="AD124" s="97"/>
      <c r="AE124" s="97"/>
      <c r="BE124" s="119"/>
      <c r="BF124" s="119"/>
      <c r="BG124" s="119"/>
      <c r="BH124" s="119"/>
      <c r="BN124" s="69"/>
      <c r="BO124" s="863"/>
      <c r="BP124" s="146"/>
      <c r="BQ124" s="153"/>
      <c r="BR124" s="153"/>
      <c r="BS124" s="153"/>
      <c r="BT124" s="153"/>
      <c r="BU124" s="153"/>
      <c r="BV124" s="153"/>
      <c r="BW124" s="153"/>
      <c r="BX124" s="153"/>
      <c r="BY124" s="153"/>
      <c r="BZ124" s="153"/>
      <c r="CA124" s="153"/>
      <c r="CB124" s="153"/>
      <c r="CC124" s="153"/>
      <c r="CD124" s="153"/>
      <c r="CE124" s="153"/>
      <c r="CF124" s="153"/>
      <c r="CG124" s="153"/>
      <c r="CH124" s="153"/>
      <c r="CI124" s="153"/>
      <c r="CJ124" s="153"/>
      <c r="CK124" s="154"/>
      <c r="CL124" s="153"/>
      <c r="CM124" s="153"/>
      <c r="CN124" s="153"/>
      <c r="CO124" s="153"/>
      <c r="CP124" s="153"/>
      <c r="CQ124" s="153"/>
      <c r="CR124" s="153"/>
      <c r="CS124" s="153"/>
      <c r="CT124" s="153"/>
      <c r="CU124" s="153"/>
      <c r="CV124" s="153"/>
      <c r="CW124" s="153"/>
      <c r="CX124" s="153"/>
      <c r="CY124" s="153"/>
      <c r="CZ124" s="153"/>
      <c r="DA124" s="153"/>
      <c r="DB124" s="62"/>
      <c r="DC124" s="62"/>
      <c r="DD124" s="62"/>
    </row>
    <row r="125" spans="5:108" ht="148" hidden="1" thickBot="1" x14ac:dyDescent="0.25">
      <c r="E125" s="300"/>
      <c r="F125" s="300"/>
      <c r="G125" s="797"/>
      <c r="H125"/>
      <c r="I125" s="768" t="s">
        <v>185</v>
      </c>
      <c r="J125" s="773" t="s">
        <v>184</v>
      </c>
      <c r="K125" s="772" t="s">
        <v>112</v>
      </c>
      <c r="L125" s="776" t="s">
        <v>112</v>
      </c>
      <c r="M125" s="785" t="s">
        <v>112</v>
      </c>
      <c r="N125"/>
      <c r="O125" s="794"/>
      <c r="U125" s="97"/>
      <c r="AB125" s="97"/>
      <c r="AC125" s="97"/>
      <c r="AD125" s="97"/>
      <c r="AE125" s="97"/>
      <c r="BE125" s="119"/>
      <c r="BF125" s="119"/>
      <c r="BG125" s="119"/>
      <c r="BH125" s="119"/>
      <c r="BN125" s="69"/>
      <c r="BO125" s="863"/>
      <c r="BP125" s="146"/>
      <c r="BQ125" s="153"/>
      <c r="BR125" s="153"/>
      <c r="BS125" s="153"/>
      <c r="BT125" s="153"/>
      <c r="BU125" s="153"/>
      <c r="BV125" s="153"/>
      <c r="BW125" s="153"/>
      <c r="BX125" s="153"/>
      <c r="BY125" s="153"/>
      <c r="BZ125" s="153"/>
      <c r="CA125" s="153"/>
      <c r="CB125" s="153"/>
      <c r="CC125" s="153"/>
      <c r="CD125" s="153"/>
      <c r="CE125" s="153"/>
      <c r="CF125" s="153"/>
      <c r="CG125" s="153"/>
      <c r="CH125" s="153"/>
      <c r="CI125" s="153"/>
      <c r="CJ125" s="153"/>
      <c r="CK125" s="154"/>
      <c r="CL125" s="153"/>
      <c r="CM125" s="153"/>
      <c r="CN125" s="153"/>
      <c r="CO125" s="153"/>
      <c r="CP125" s="153"/>
      <c r="CQ125" s="153"/>
      <c r="CR125" s="153"/>
      <c r="CS125" s="153"/>
      <c r="CT125" s="153"/>
      <c r="CU125" s="153"/>
      <c r="CV125" s="153"/>
      <c r="CW125" s="153"/>
      <c r="CX125" s="153"/>
      <c r="CY125" s="153"/>
      <c r="CZ125" s="153"/>
      <c r="DA125" s="153"/>
      <c r="DB125" s="62"/>
      <c r="DC125" s="62"/>
      <c r="DD125" s="62"/>
    </row>
    <row r="126" spans="5:108" ht="96" customHeight="1" thickBot="1" x14ac:dyDescent="0.3">
      <c r="E126" s="300"/>
      <c r="F126" s="300"/>
      <c r="G126" s="797"/>
      <c r="H126" s="840" t="s">
        <v>205</v>
      </c>
      <c r="I126" s="828">
        <f>+MIN(K31:L32)</f>
        <v>39.940221277531599</v>
      </c>
      <c r="J126" s="828">
        <f>+MIN(J37:K38)</f>
        <v>61.871616395978343</v>
      </c>
      <c r="K126" s="829">
        <f>+MIN(J43:L44)</f>
        <v>61.871616395978343</v>
      </c>
      <c r="L126" s="830">
        <f>+MIN(J49:L50)</f>
        <v>26.771372479029086</v>
      </c>
      <c r="M126" s="831">
        <f>+MIN(J55:L56)</f>
        <v>61.871616395978343</v>
      </c>
      <c r="N126"/>
      <c r="O126" s="794"/>
      <c r="U126" s="97"/>
      <c r="AB126" s="97"/>
      <c r="AC126" s="97"/>
      <c r="AD126" s="97"/>
      <c r="AE126" s="97"/>
      <c r="BE126" s="119"/>
      <c r="BF126" s="119"/>
      <c r="BG126" s="119"/>
      <c r="BH126" s="119"/>
      <c r="BN126" s="69"/>
      <c r="BO126" s="863"/>
      <c r="BP126" s="146"/>
      <c r="BQ126" s="153"/>
      <c r="BR126" s="153"/>
      <c r="BS126" s="153"/>
      <c r="BT126" s="153"/>
      <c r="BU126" s="153"/>
      <c r="BV126" s="153"/>
      <c r="BW126" s="153"/>
      <c r="BX126" s="153"/>
      <c r="BY126" s="153"/>
      <c r="BZ126" s="153"/>
      <c r="CA126" s="153"/>
      <c r="CB126" s="153"/>
      <c r="CC126" s="153"/>
      <c r="CD126" s="153"/>
      <c r="CE126" s="153"/>
      <c r="CF126" s="153"/>
      <c r="CG126" s="153"/>
      <c r="CH126" s="153"/>
      <c r="CI126" s="153"/>
      <c r="CJ126" s="153"/>
      <c r="CK126" s="154"/>
      <c r="CL126" s="153"/>
      <c r="CM126" s="153"/>
      <c r="CN126" s="153"/>
      <c r="CO126" s="153"/>
      <c r="CP126" s="153"/>
      <c r="CQ126" s="153"/>
      <c r="CR126" s="153"/>
      <c r="CS126" s="153"/>
      <c r="CT126" s="153"/>
      <c r="CU126" s="153"/>
      <c r="CV126" s="153"/>
      <c r="CW126" s="153"/>
      <c r="CX126" s="153"/>
      <c r="CY126" s="153"/>
      <c r="CZ126" s="153"/>
      <c r="DA126" s="153"/>
      <c r="DB126" s="62"/>
      <c r="DC126" s="62"/>
      <c r="DD126" s="62"/>
    </row>
    <row r="127" spans="5:108" ht="20" hidden="1" x14ac:dyDescent="0.2">
      <c r="E127" s="300"/>
      <c r="F127" s="300"/>
      <c r="G127" s="810"/>
      <c r="H127" s="114"/>
      <c r="I127" s="114"/>
      <c r="J127" s="114"/>
      <c r="K127" s="114"/>
      <c r="L127" s="114"/>
      <c r="M127" s="114"/>
      <c r="N127" s="114"/>
      <c r="O127" s="811"/>
      <c r="U127" s="97"/>
      <c r="AB127" s="97"/>
      <c r="AC127" s="97"/>
      <c r="AD127" s="97"/>
      <c r="AE127" s="97"/>
      <c r="BE127" s="119"/>
      <c r="BF127" s="119"/>
      <c r="BG127" s="119"/>
      <c r="BH127" s="119"/>
      <c r="BN127" s="69"/>
      <c r="BO127" s="863"/>
      <c r="BP127" s="146"/>
      <c r="BQ127" s="153"/>
      <c r="BR127" s="153"/>
      <c r="BS127" s="153"/>
      <c r="BT127" s="153"/>
      <c r="BU127" s="153"/>
      <c r="BV127" s="153"/>
      <c r="BW127" s="153"/>
      <c r="BX127" s="153"/>
      <c r="BY127" s="153"/>
      <c r="BZ127" s="153"/>
      <c r="CA127" s="153"/>
      <c r="CB127" s="153"/>
      <c r="CC127" s="153"/>
      <c r="CD127" s="153"/>
      <c r="CE127" s="153"/>
      <c r="CF127" s="153"/>
      <c r="CG127" s="153"/>
      <c r="CH127" s="153"/>
      <c r="CI127" s="153"/>
      <c r="CJ127" s="153"/>
      <c r="CK127" s="154"/>
      <c r="CL127" s="153"/>
      <c r="CM127" s="153"/>
      <c r="CN127" s="153"/>
      <c r="CO127" s="153"/>
      <c r="CP127" s="153"/>
      <c r="CQ127" s="153"/>
      <c r="CR127" s="153"/>
      <c r="CS127" s="153"/>
      <c r="CT127" s="153"/>
      <c r="CU127" s="153"/>
      <c r="CV127" s="153"/>
      <c r="CW127" s="153"/>
      <c r="CX127" s="153"/>
      <c r="CY127" s="153"/>
      <c r="CZ127" s="153"/>
      <c r="DA127" s="153"/>
      <c r="DB127" s="62"/>
      <c r="DC127" s="62"/>
      <c r="DD127" s="62"/>
    </row>
    <row r="128" spans="5:108" ht="30" hidden="1" x14ac:dyDescent="0.2">
      <c r="E128" s="300"/>
      <c r="F128" s="300"/>
      <c r="G128" s="797"/>
      <c r="H128" s="184"/>
      <c r="I128" s="184"/>
      <c r="J128" s="184"/>
      <c r="K128" s="184"/>
      <c r="L128" s="184"/>
      <c r="M128" s="184"/>
      <c r="N128" s="184"/>
      <c r="O128" s="812"/>
      <c r="U128" s="97"/>
      <c r="AB128" s="97"/>
      <c r="AC128" s="97"/>
      <c r="AD128" s="97"/>
      <c r="AE128" s="97"/>
      <c r="BE128" s="119"/>
      <c r="BF128" s="119"/>
      <c r="BG128" s="119"/>
      <c r="BH128" s="119"/>
      <c r="BN128" s="69"/>
      <c r="BO128" s="863"/>
      <c r="BP128" s="146"/>
      <c r="BQ128" s="153"/>
      <c r="BR128" s="153"/>
      <c r="BS128" s="153"/>
      <c r="BT128" s="153"/>
      <c r="BU128" s="153"/>
      <c r="BV128" s="153"/>
      <c r="BW128" s="153"/>
      <c r="BX128" s="153"/>
      <c r="BY128" s="153"/>
      <c r="BZ128" s="153"/>
      <c r="CA128" s="153"/>
      <c r="CB128" s="153"/>
      <c r="CC128" s="153"/>
      <c r="CD128" s="153"/>
      <c r="CE128" s="153"/>
      <c r="CF128" s="153"/>
      <c r="CG128" s="153"/>
      <c r="CH128" s="153"/>
      <c r="CI128" s="153"/>
      <c r="CJ128" s="153"/>
      <c r="CK128" s="154"/>
      <c r="CL128" s="153"/>
      <c r="CM128" s="153"/>
      <c r="CN128" s="153"/>
      <c r="CO128" s="153"/>
      <c r="CP128" s="153"/>
      <c r="CQ128" s="153"/>
      <c r="CR128" s="153"/>
      <c r="CS128" s="153"/>
      <c r="CT128" s="153"/>
      <c r="CU128" s="153"/>
      <c r="CV128" s="153"/>
      <c r="CW128" s="153"/>
      <c r="CX128" s="153"/>
      <c r="CY128" s="153"/>
      <c r="CZ128" s="153"/>
      <c r="DA128" s="153"/>
      <c r="DB128" s="62"/>
      <c r="DC128" s="62"/>
      <c r="DD128" s="62"/>
    </row>
    <row r="129" spans="2:108" ht="21" hidden="1" thickBot="1" x14ac:dyDescent="0.25">
      <c r="E129" s="300"/>
      <c r="F129" s="300"/>
      <c r="G129" s="797"/>
      <c r="H129"/>
      <c r="I129"/>
      <c r="J129"/>
      <c r="K129"/>
      <c r="L129"/>
      <c r="M129"/>
      <c r="N129"/>
      <c r="O129" s="794"/>
      <c r="U129" s="97"/>
      <c r="AB129" s="97"/>
      <c r="AC129" s="97"/>
      <c r="AD129" s="97"/>
      <c r="AE129" s="97"/>
      <c r="BE129" s="119"/>
      <c r="BF129" s="119"/>
      <c r="BG129" s="119"/>
      <c r="BH129" s="119"/>
      <c r="BN129" s="69"/>
      <c r="BO129" s="863"/>
      <c r="BP129" s="146"/>
      <c r="BQ129" s="153"/>
      <c r="BR129" s="153"/>
      <c r="BS129" s="153"/>
      <c r="BT129" s="153"/>
      <c r="BU129" s="153"/>
      <c r="BV129" s="153"/>
      <c r="BW129" s="153"/>
      <c r="BX129" s="153"/>
      <c r="BY129" s="153"/>
      <c r="BZ129" s="153"/>
      <c r="CA129" s="153"/>
      <c r="CB129" s="153"/>
      <c r="CC129" s="153"/>
      <c r="CD129" s="153"/>
      <c r="CE129" s="153"/>
      <c r="CF129" s="153"/>
      <c r="CG129" s="153"/>
      <c r="CH129" s="153"/>
      <c r="CI129" s="153"/>
      <c r="CJ129" s="153"/>
      <c r="CK129" s="154"/>
      <c r="CL129" s="153"/>
      <c r="CM129" s="153"/>
      <c r="CN129" s="153"/>
      <c r="CO129" s="153"/>
      <c r="CP129" s="153"/>
      <c r="CQ129" s="153"/>
      <c r="CR129" s="153"/>
      <c r="CS129" s="153"/>
      <c r="CT129" s="153"/>
      <c r="CU129" s="153"/>
      <c r="CV129" s="153"/>
      <c r="CW129" s="153"/>
      <c r="CX129" s="153"/>
      <c r="CY129" s="153"/>
      <c r="CZ129" s="153"/>
      <c r="DA129" s="153"/>
      <c r="DB129" s="62"/>
      <c r="DC129" s="62"/>
      <c r="DD129" s="62"/>
    </row>
    <row r="130" spans="2:108" ht="51.75" customHeight="1" thickBot="1" x14ac:dyDescent="0.3">
      <c r="B130" s="311"/>
      <c r="D130" s="312" t="str">
        <f>IF(BL139&gt;0," ","change the angle of frame or of cabinets")</f>
        <v xml:space="preserve"> </v>
      </c>
      <c r="E130" s="300"/>
      <c r="F130" s="300"/>
      <c r="G130" s="797"/>
      <c r="H130"/>
      <c r="I130" s="843" t="s">
        <v>208</v>
      </c>
      <c r="J130" s="843" t="s">
        <v>207</v>
      </c>
      <c r="K130"/>
      <c r="L130"/>
      <c r="M130"/>
      <c r="N130"/>
      <c r="O130" s="794"/>
      <c r="U130" s="97"/>
      <c r="AB130" s="97"/>
      <c r="AC130" s="97"/>
      <c r="AD130" s="97"/>
      <c r="AE130" s="97"/>
      <c r="BE130" s="119"/>
      <c r="BF130" s="119"/>
      <c r="BG130" s="119"/>
      <c r="BH130" s="119"/>
      <c r="BN130" s="69"/>
      <c r="BO130" s="863"/>
      <c r="BP130" s="146"/>
      <c r="BQ130" s="153"/>
      <c r="BR130" s="153"/>
      <c r="BS130" s="153"/>
      <c r="BT130" s="153"/>
      <c r="BU130" s="153"/>
      <c r="BV130" s="153"/>
      <c r="BW130" s="153"/>
      <c r="BX130" s="153"/>
      <c r="BY130" s="153"/>
      <c r="BZ130" s="153"/>
      <c r="CA130" s="153"/>
      <c r="CB130" s="153"/>
      <c r="CC130" s="153"/>
      <c r="CD130" s="153"/>
      <c r="CE130" s="153"/>
      <c r="CF130" s="153"/>
      <c r="CG130" s="153"/>
      <c r="CH130" s="153"/>
      <c r="CI130" s="153"/>
      <c r="CJ130" s="153"/>
      <c r="CK130" s="154"/>
      <c r="CL130" s="153"/>
      <c r="CM130" s="153"/>
      <c r="CN130" s="153"/>
      <c r="CO130" s="153"/>
      <c r="CP130" s="153"/>
      <c r="CQ130" s="153"/>
      <c r="CR130" s="153"/>
      <c r="CS130" s="153"/>
      <c r="CT130" s="153"/>
      <c r="CU130" s="153"/>
      <c r="CV130" s="153"/>
      <c r="CW130" s="153"/>
      <c r="CX130" s="153"/>
      <c r="CY130" s="153"/>
      <c r="CZ130" s="153"/>
      <c r="DA130" s="153"/>
      <c r="DB130" s="62"/>
      <c r="DC130" s="62"/>
      <c r="DD130" s="62"/>
    </row>
    <row r="131" spans="2:108" ht="54" customHeight="1" thickBot="1" x14ac:dyDescent="0.3">
      <c r="B131" s="1113" t="s">
        <v>105</v>
      </c>
      <c r="D131" s="312" t="str">
        <f>IF(DD139&lt;0," ","change the angle of frame or of cabinets")</f>
        <v xml:space="preserve"> </v>
      </c>
      <c r="E131" s="300"/>
      <c r="F131" s="300"/>
      <c r="G131" s="813"/>
      <c r="H131" s="192"/>
      <c r="I131" s="838">
        <f>COUNTIF(CK99:DA99,"&gt;0")</f>
        <v>1</v>
      </c>
      <c r="J131" s="838">
        <f>COUNTIF(BQ99:CG99,"&gt;0")</f>
        <v>1</v>
      </c>
      <c r="K131" s="838" t="b">
        <f>AND(IF(SUM(BQ131:CA131)&gt;0,1,0),IF(CP131="6  ADS ",1,0))</f>
        <v>1</v>
      </c>
      <c r="L131" s="838" t="b">
        <f>AND(IF(SUM(CQ131:DA131)&gt;0,1,0),IF(CB131="6  ADS ",1,0))</f>
        <v>0</v>
      </c>
      <c r="M131" s="838" t="b">
        <f>AND(IF(CP131="6  ADS ",1,0),IF(CB131="6  ADS ",1,0))</f>
        <v>0</v>
      </c>
      <c r="N131" s="192"/>
      <c r="O131" s="814"/>
      <c r="U131" s="97"/>
      <c r="AB131" s="97"/>
      <c r="AC131" s="97"/>
      <c r="AD131" s="97"/>
      <c r="AE131" s="97"/>
      <c r="BE131" s="119"/>
      <c r="BF131" s="119"/>
      <c r="BG131" s="119"/>
      <c r="BH131" s="119"/>
      <c r="BN131" s="69"/>
      <c r="BO131" s="866" t="s">
        <v>112</v>
      </c>
      <c r="BP131" s="155" t="s">
        <v>109</v>
      </c>
      <c r="BQ131" s="593" t="str">
        <f>IF(BQ99=1,17,"")</f>
        <v/>
      </c>
      <c r="BR131" s="594" t="str">
        <f>IF(BR99=2,16,"")</f>
        <v/>
      </c>
      <c r="BS131" s="594" t="str">
        <f>IF(BS99=3,15,"")</f>
        <v/>
      </c>
      <c r="BT131" s="594" t="str">
        <f>IF(BT99=4,14,"")</f>
        <v/>
      </c>
      <c r="BU131" s="594" t="str">
        <f>IF(BU99=5,13,"")</f>
        <v/>
      </c>
      <c r="BV131" s="594" t="str">
        <f>IF(BV99=6,12,"")</f>
        <v/>
      </c>
      <c r="BW131" s="594" t="str">
        <f>IF(BW99=7,11,"")</f>
        <v/>
      </c>
      <c r="BX131" s="594">
        <f>IF(BX99=8,10,"")</f>
        <v>10</v>
      </c>
      <c r="BY131" s="594" t="str">
        <f>IF(BY99=9,9,"")</f>
        <v/>
      </c>
      <c r="BZ131" s="594" t="str">
        <f>IF(BZ99=10,8,"")</f>
        <v/>
      </c>
      <c r="CA131" s="594" t="str">
        <f>IF(CA99=11,7,"")</f>
        <v/>
      </c>
      <c r="CB131" s="595" t="str">
        <f>IF(CB99=12,"6  ADS ","")</f>
        <v/>
      </c>
      <c r="CC131" s="594" t="str">
        <f>IF(CC99=13,5,"")</f>
        <v/>
      </c>
      <c r="CD131" s="594" t="str">
        <f>IF(CD99=14,4,"")</f>
        <v/>
      </c>
      <c r="CE131" s="594" t="str">
        <f>IF(CE99=15,3,"")</f>
        <v/>
      </c>
      <c r="CF131" s="594" t="str">
        <f>IF(CF99=16,2,"")</f>
        <v/>
      </c>
      <c r="CG131" s="594" t="str">
        <f>IF(CG99=17,1,"")</f>
        <v/>
      </c>
      <c r="CH131" s="156"/>
      <c r="CI131" s="157"/>
      <c r="CJ131" s="158"/>
      <c r="CK131" s="596" t="str">
        <f>IF(CK99=21,1,"")</f>
        <v/>
      </c>
      <c r="CL131" s="596" t="str">
        <f>IF(CL99=22,2,"")</f>
        <v/>
      </c>
      <c r="CM131" s="596" t="str">
        <f>IF(CM99=23,3,"")</f>
        <v/>
      </c>
      <c r="CN131" s="596" t="str">
        <f>IF(CN99=24,4,"")</f>
        <v/>
      </c>
      <c r="CO131" s="596" t="str">
        <f>IF(CO99=25,5,"")</f>
        <v/>
      </c>
      <c r="CP131" s="597" t="str">
        <f>IF(CP99=26,"6  ADS ","")</f>
        <v xml:space="preserve">6  ADS </v>
      </c>
      <c r="CQ131" s="596" t="str">
        <f>IF(CQ99=27,7,"")</f>
        <v/>
      </c>
      <c r="CR131" s="596" t="str">
        <f>IF(CR99=28,8,"")</f>
        <v/>
      </c>
      <c r="CS131" s="596" t="str">
        <f>IF(CS99=29,9,"")</f>
        <v/>
      </c>
      <c r="CT131" s="596" t="str">
        <f>IF(CT99=30,10,"")</f>
        <v/>
      </c>
      <c r="CU131" s="596" t="str">
        <f>IF(CU99=31,11,"")</f>
        <v/>
      </c>
      <c r="CV131" s="596" t="str">
        <f>IF(CV99=32,12,"")</f>
        <v/>
      </c>
      <c r="CW131" s="596" t="str">
        <f>IF(CW99=33,13,"")</f>
        <v/>
      </c>
      <c r="CX131" s="596" t="str">
        <f>IF(CX99=34,14,"")</f>
        <v/>
      </c>
      <c r="CY131" s="596" t="str">
        <f>IF(CY99=35,15,"")</f>
        <v/>
      </c>
      <c r="CZ131" s="596" t="str">
        <f>IF(CZ99=36,16,"")</f>
        <v/>
      </c>
      <c r="DA131" s="598" t="str">
        <f>IF(DA99=37,17,"")</f>
        <v/>
      </c>
      <c r="DB131" s="281"/>
      <c r="DC131" s="62"/>
      <c r="DD131" s="62"/>
    </row>
    <row r="132" spans="2:108" ht="54" customHeight="1" thickBot="1" x14ac:dyDescent="0.3">
      <c r="B132" s="1114"/>
      <c r="C132" s="196"/>
      <c r="D132" s="312" t="str">
        <f>IF(BL139&gt;(+COS(($B$133*-1)*3.14159265358979/180)*451.5)," ","USE EXBAR AR AT THE FRONT")</f>
        <v xml:space="preserve"> </v>
      </c>
      <c r="E132" s="300"/>
      <c r="F132" s="300"/>
      <c r="G132" s="815"/>
      <c r="H132" s="816"/>
      <c r="I132" s="839">
        <f>IF(I131=2,I126,0)</f>
        <v>0</v>
      </c>
      <c r="J132" s="839">
        <f>IF(J131=2,J126,0)</f>
        <v>0</v>
      </c>
      <c r="K132" s="839">
        <f t="shared" ref="K132:M132" si="4">IF(K131=TRUE,K126,0)</f>
        <v>61.871616395978343</v>
      </c>
      <c r="L132" s="839">
        <f t="shared" si="4"/>
        <v>0</v>
      </c>
      <c r="M132" s="839">
        <f t="shared" si="4"/>
        <v>0</v>
      </c>
      <c r="N132" s="816"/>
      <c r="O132" s="817"/>
      <c r="U132" s="97"/>
      <c r="AB132" s="97"/>
      <c r="AC132" s="97"/>
      <c r="AD132" s="97"/>
      <c r="AE132" s="97"/>
      <c r="AL132" s="676" t="s">
        <v>128</v>
      </c>
      <c r="AM132" s="677"/>
      <c r="AN132" s="677"/>
      <c r="AO132" s="677"/>
      <c r="AP132" s="678" t="s">
        <v>132</v>
      </c>
      <c r="BE132" s="119"/>
      <c r="BF132" s="119"/>
      <c r="BG132" s="119"/>
      <c r="BH132" s="119"/>
      <c r="BL132" s="767">
        <v>6</v>
      </c>
      <c r="BM132" s="1055" t="b">
        <f>AND(BO132&gt;=10,$BA$139&gt;=10,$BB$139&gt;=10,$BA$177&gt;=10,$BB$177&gt;=10,$BA$201&gt;=10,$BB$201&gt;=10)</f>
        <v>1</v>
      </c>
      <c r="BN132" s="67" t="str">
        <f>IF(BM132=TRUE,"O K","OVERLOAD")</f>
        <v>O K</v>
      </c>
      <c r="BO132" s="781">
        <f>SUM(I132:M132)</f>
        <v>61.871616395978343</v>
      </c>
      <c r="BP132" s="631" t="s">
        <v>139</v>
      </c>
      <c r="BQ132" s="632">
        <v>-10</v>
      </c>
      <c r="BR132" s="632">
        <v>-9</v>
      </c>
      <c r="BS132" s="632">
        <v>-8</v>
      </c>
      <c r="BT132" s="632">
        <v>-7</v>
      </c>
      <c r="BU132" s="632">
        <v>-6</v>
      </c>
      <c r="BV132" s="632">
        <v>-5</v>
      </c>
      <c r="BW132" s="632">
        <v>-4</v>
      </c>
      <c r="BX132" s="632">
        <v>-3</v>
      </c>
      <c r="BY132" s="632">
        <v>-2</v>
      </c>
      <c r="BZ132" s="632">
        <v>-1</v>
      </c>
      <c r="CA132" s="632">
        <v>0</v>
      </c>
      <c r="CB132" s="632">
        <v>1</v>
      </c>
      <c r="CC132" s="632">
        <v>2</v>
      </c>
      <c r="CD132" s="632">
        <v>3</v>
      </c>
      <c r="CE132" s="632">
        <v>4</v>
      </c>
      <c r="CF132" s="632">
        <v>5</v>
      </c>
      <c r="CG132" s="632">
        <v>6</v>
      </c>
      <c r="CH132" s="632">
        <v>7</v>
      </c>
      <c r="CI132" s="632">
        <v>8</v>
      </c>
      <c r="CJ132" s="632">
        <v>9</v>
      </c>
      <c r="CK132" s="632">
        <v>10</v>
      </c>
      <c r="CL132" s="632">
        <v>11</v>
      </c>
      <c r="CM132" s="632">
        <v>12</v>
      </c>
      <c r="CN132" s="632">
        <v>13</v>
      </c>
      <c r="CO132" s="632">
        <v>14</v>
      </c>
      <c r="CP132" s="632">
        <v>15</v>
      </c>
      <c r="CQ132" s="632">
        <v>16</v>
      </c>
      <c r="CR132" s="632">
        <v>17</v>
      </c>
      <c r="CS132" s="632">
        <v>18</v>
      </c>
      <c r="CT132" s="632">
        <v>19</v>
      </c>
      <c r="CU132" s="632">
        <v>20</v>
      </c>
      <c r="CV132" s="632">
        <v>21</v>
      </c>
      <c r="CW132" s="632">
        <v>22</v>
      </c>
      <c r="CX132" s="632">
        <v>23</v>
      </c>
      <c r="CY132" s="632">
        <v>24</v>
      </c>
      <c r="CZ132" s="632">
        <v>25</v>
      </c>
      <c r="DA132" s="634">
        <v>26</v>
      </c>
      <c r="DB132" s="281"/>
      <c r="DC132" s="62"/>
      <c r="DD132" s="62"/>
    </row>
    <row r="133" spans="2:108" ht="54" customHeight="1" thickBot="1" x14ac:dyDescent="0.3">
      <c r="B133" s="2">
        <v>0</v>
      </c>
      <c r="C133" s="196"/>
      <c r="D133" s="282" t="str">
        <f>IF(DD139&lt;-(+COS(($B$133*-1)*3.14159265358979/180)*365.5)," ","USE EXBAR AR AT THE BACK")</f>
        <v xml:space="preserve"> </v>
      </c>
      <c r="E133" s="300"/>
      <c r="F133" s="300"/>
      <c r="G133" s="300"/>
      <c r="U133" s="97"/>
      <c r="AB133" s="97"/>
      <c r="AC133" s="97"/>
      <c r="AD133" s="97"/>
      <c r="AE133" s="97"/>
      <c r="AL133" s="679" t="s">
        <v>129</v>
      </c>
      <c r="AM133" s="676" t="s">
        <v>130</v>
      </c>
      <c r="AN133" s="676" t="s">
        <v>131</v>
      </c>
      <c r="AO133" s="680" t="s">
        <v>135</v>
      </c>
      <c r="AP133" s="977" t="s">
        <v>133</v>
      </c>
      <c r="BE133" s="119"/>
      <c r="BF133" s="119"/>
      <c r="BG133" s="119"/>
      <c r="BH133" s="119"/>
      <c r="BN133" s="69"/>
      <c r="BO133" s="863"/>
      <c r="BP133" s="119"/>
      <c r="BQ133" s="281"/>
      <c r="BR133" s="281"/>
      <c r="BS133" s="281"/>
      <c r="BT133" s="281"/>
      <c r="BU133" s="281"/>
      <c r="BV133" s="281"/>
      <c r="BW133" s="281"/>
      <c r="BX133" s="281"/>
      <c r="BY133" s="281"/>
      <c r="BZ133" s="281"/>
      <c r="CA133" s="281"/>
      <c r="CB133" s="751"/>
      <c r="CC133" s="281"/>
      <c r="CD133" s="281"/>
      <c r="CE133" s="281"/>
      <c r="CF133" s="281"/>
      <c r="CG133" s="281"/>
      <c r="CH133" s="281"/>
      <c r="CI133" s="281"/>
      <c r="CJ133" s="281"/>
      <c r="CK133" s="281"/>
      <c r="CL133" s="281"/>
      <c r="CM133" s="281"/>
      <c r="CN133" s="281"/>
      <c r="CO133" s="281"/>
      <c r="CP133" s="751"/>
      <c r="CQ133" s="281"/>
      <c r="CR133" s="281"/>
      <c r="CS133" s="281"/>
      <c r="CT133" s="281"/>
      <c r="CU133" s="281"/>
      <c r="CV133" s="281"/>
      <c r="CW133" s="281"/>
      <c r="CX133" s="281"/>
      <c r="CY133" s="281"/>
      <c r="CZ133" s="281"/>
      <c r="DA133" s="281"/>
      <c r="DB133" s="281"/>
      <c r="DC133" s="62"/>
      <c r="DD133" s="62"/>
    </row>
    <row r="134" spans="2:108" ht="12.75" customHeight="1" thickBot="1" x14ac:dyDescent="0.25">
      <c r="B134" s="302"/>
      <c r="C134" s="302"/>
      <c r="D134" s="300"/>
      <c r="E134" s="300"/>
      <c r="F134" s="300"/>
      <c r="G134" s="300"/>
      <c r="U134" s="97"/>
      <c r="AB134" s="97"/>
      <c r="AC134" s="97"/>
      <c r="AD134" s="97"/>
      <c r="AE134" s="97"/>
      <c r="BE134" s="119"/>
      <c r="BF134" s="119"/>
      <c r="BG134" s="119"/>
      <c r="BH134" s="119"/>
      <c r="BM134"/>
      <c r="BO134" s="863"/>
      <c r="BP134" s="119"/>
      <c r="DB134" s="62"/>
      <c r="DC134" s="62"/>
      <c r="DD134" s="62"/>
    </row>
    <row r="135" spans="2:108" ht="63" customHeight="1" thickBot="1" x14ac:dyDescent="0.3">
      <c r="B135" s="284" t="s">
        <v>228</v>
      </c>
      <c r="C135" s="357"/>
      <c r="D135" s="358"/>
      <c r="E135" s="26"/>
      <c r="F135" s="26"/>
      <c r="G135" s="26"/>
      <c r="H135" s="359"/>
      <c r="I135" s="359"/>
      <c r="J135" s="359"/>
      <c r="K135" s="359"/>
      <c r="L135" s="359"/>
      <c r="M135" s="359"/>
      <c r="N135" s="359"/>
      <c r="O135" s="359"/>
      <c r="P135" s="359"/>
      <c r="Q135" s="359"/>
      <c r="R135" s="359"/>
      <c r="S135" s="360" t="s">
        <v>60</v>
      </c>
      <c r="T135" s="360">
        <f>SUM(V139:V158)/B136</f>
        <v>213.34350003963542</v>
      </c>
      <c r="U135" s="195"/>
      <c r="V135" s="170"/>
      <c r="AB135" s="170"/>
      <c r="AC135" s="170"/>
      <c r="AD135" s="170"/>
      <c r="AE135" s="170"/>
      <c r="AF135" s="170"/>
      <c r="AG135" s="170"/>
      <c r="AH135" s="170"/>
      <c r="AI135" s="170"/>
      <c r="AJ135" s="170"/>
      <c r="AK135" s="170"/>
      <c r="AL135" s="679">
        <v>6.8623010000000004</v>
      </c>
      <c r="AM135" s="676">
        <f>+$B$133-AL135</f>
        <v>-6.8623010000000004</v>
      </c>
      <c r="AN135" s="682">
        <f>COS(AM135*3.14159265358979/180)</f>
        <v>0.99283617366519983</v>
      </c>
      <c r="AO135" s="683">
        <f>+AN135*378.71303</f>
        <v>375.99999562235405</v>
      </c>
      <c r="AP135" s="978">
        <f>+((AP139*(AR139-31-31))+(AO135*31)+(AP171*31)+(AP195*31))/(AR139+31)</f>
        <v>274.81012123082678</v>
      </c>
      <c r="AQ135" s="1033" t="s">
        <v>298</v>
      </c>
      <c r="AR135" s="170"/>
      <c r="AS135" s="170"/>
      <c r="AT135" s="170"/>
      <c r="AU135" s="170"/>
      <c r="AV135" s="170"/>
      <c r="AW135" s="170"/>
      <c r="AX135" s="170"/>
      <c r="AY135" s="170"/>
      <c r="AZ135" s="170"/>
      <c r="BA135" s="170"/>
      <c r="BB135" s="170"/>
      <c r="BC135" s="109"/>
      <c r="BE135" s="119"/>
      <c r="BF135" s="119"/>
      <c r="BG135" s="119"/>
      <c r="BH135" s="119"/>
      <c r="BI135" s="119"/>
      <c r="BJ135" s="119"/>
      <c r="BK135" s="119"/>
      <c r="BL135" s="119"/>
      <c r="BM135" s="305"/>
      <c r="BN135" s="119"/>
      <c r="BO135" s="863"/>
      <c r="BP135" s="62"/>
      <c r="BQ135" s="182"/>
      <c r="BR135" s="182"/>
      <c r="BS135" s="182"/>
      <c r="BT135" s="182"/>
      <c r="BU135" s="182"/>
      <c r="BV135" s="182"/>
      <c r="BW135" s="182"/>
      <c r="BX135" s="182"/>
      <c r="BY135" s="182"/>
      <c r="BZ135" s="182"/>
      <c r="CA135" s="182"/>
      <c r="CB135" s="182"/>
      <c r="CC135" s="182"/>
      <c r="CD135" s="182"/>
      <c r="CE135" s="182"/>
      <c r="CF135" s="182"/>
      <c r="CG135" s="182"/>
      <c r="CH135" s="182"/>
      <c r="CI135" s="182"/>
      <c r="CJ135" s="182"/>
      <c r="CK135" s="182"/>
      <c r="CL135" s="182"/>
      <c r="CM135" s="182"/>
      <c r="CN135" s="182"/>
      <c r="CO135" s="182"/>
      <c r="CP135" s="182"/>
      <c r="CQ135" s="182"/>
      <c r="CR135" s="182"/>
      <c r="CS135" s="182"/>
      <c r="CT135" s="182"/>
      <c r="CU135" s="182"/>
      <c r="CV135" s="182"/>
      <c r="CW135" s="182"/>
      <c r="CX135" s="182"/>
      <c r="CY135" s="182"/>
      <c r="CZ135" s="182"/>
      <c r="DA135" s="182"/>
      <c r="DB135" s="182"/>
    </row>
    <row r="136" spans="2:108" ht="33" customHeight="1" thickBot="1" x14ac:dyDescent="0.3">
      <c r="B136" s="17">
        <v>1</v>
      </c>
      <c r="C136" s="199"/>
      <c r="D136" s="434" t="s">
        <v>214</v>
      </c>
      <c r="E136" s="277"/>
      <c r="F136" s="277"/>
      <c r="G136" s="277"/>
      <c r="H136" s="902" t="s">
        <v>227</v>
      </c>
      <c r="I136" s="902" t="s">
        <v>216</v>
      </c>
      <c r="J136" s="363"/>
      <c r="K136" s="363"/>
      <c r="L136" s="363"/>
      <c r="M136" s="363"/>
      <c r="N136" s="363"/>
      <c r="O136" s="363"/>
      <c r="P136" s="363"/>
      <c r="Q136" s="363"/>
      <c r="R136" s="363"/>
      <c r="S136" s="364"/>
      <c r="T136" s="365"/>
      <c r="U136" s="304"/>
      <c r="V136" s="366"/>
      <c r="W136" s="1117" t="s">
        <v>82</v>
      </c>
      <c r="X136" s="1117"/>
      <c r="Y136" s="1117"/>
      <c r="Z136" s="1117"/>
      <c r="AA136" s="1117"/>
      <c r="AB136" s="366"/>
      <c r="AC136" s="366"/>
      <c r="AD136" s="366"/>
      <c r="AE136" s="366"/>
      <c r="AF136" s="366"/>
      <c r="AG136" s="366"/>
      <c r="AH136" s="366"/>
      <c r="AI136" s="366"/>
      <c r="AJ136" s="366"/>
      <c r="AK136" s="366"/>
      <c r="AL136" s="366"/>
      <c r="AM136" s="366"/>
      <c r="AN136" s="366"/>
      <c r="AO136" s="366"/>
      <c r="AP136" s="366"/>
      <c r="AQ136" s="366"/>
      <c r="AR136" s="366"/>
      <c r="AS136" s="366"/>
      <c r="AT136" s="366"/>
      <c r="AU136" s="366"/>
      <c r="AV136" s="366"/>
      <c r="AW136" s="366"/>
      <c r="AX136" s="366"/>
      <c r="AY136" s="366"/>
      <c r="AZ136" s="366"/>
      <c r="BA136" s="1115" t="s">
        <v>46</v>
      </c>
      <c r="BB136" s="1116"/>
      <c r="BC136" s="201"/>
      <c r="BE136" s="119"/>
      <c r="BF136" s="119"/>
      <c r="BG136" s="119"/>
      <c r="BH136" s="119"/>
      <c r="BI136" s="119"/>
      <c r="BJ136" s="119"/>
      <c r="BK136" s="119"/>
      <c r="BL136" s="119"/>
      <c r="BM136" s="305"/>
      <c r="BN136" s="119"/>
      <c r="BO136" s="863"/>
      <c r="BP136" s="60"/>
      <c r="BQ136" s="60"/>
      <c r="BR136" s="60"/>
      <c r="BS136" s="60"/>
      <c r="BT136" s="60"/>
      <c r="BU136" s="60"/>
      <c r="BV136" s="185"/>
      <c r="BW136" s="185"/>
      <c r="BX136" s="185"/>
      <c r="BY136" s="185"/>
      <c r="BZ136" s="185"/>
      <c r="CA136" s="185"/>
      <c r="CB136" s="185"/>
      <c r="CC136" s="185"/>
      <c r="CD136" s="185"/>
      <c r="CE136" s="185"/>
      <c r="CF136" s="185"/>
      <c r="CG136" s="185"/>
      <c r="CH136" s="185"/>
      <c r="CI136" s="185"/>
      <c r="CJ136" s="62"/>
      <c r="CK136" s="62"/>
      <c r="CL136" s="62"/>
      <c r="CM136" s="62"/>
      <c r="CN136" s="62"/>
      <c r="CO136" s="62"/>
      <c r="CP136" s="62"/>
      <c r="CQ136" s="62"/>
      <c r="CR136" s="62"/>
      <c r="CS136" s="62"/>
      <c r="CT136" s="62"/>
      <c r="CU136" s="62"/>
      <c r="CV136" s="62"/>
      <c r="CW136" s="62"/>
      <c r="CX136" s="62"/>
      <c r="CY136" s="62"/>
      <c r="CZ136" s="62"/>
      <c r="DA136" s="62"/>
      <c r="DB136" s="62"/>
      <c r="DC136" s="62"/>
      <c r="DD136" s="62"/>
    </row>
    <row r="137" spans="2:108" ht="69" hidden="1" customHeight="1" thickBot="1" x14ac:dyDescent="0.3">
      <c r="C137" s="319"/>
      <c r="D137" s="287" t="s">
        <v>13</v>
      </c>
      <c r="H137" s="903" t="s">
        <v>4</v>
      </c>
      <c r="I137" s="904" t="s">
        <v>1</v>
      </c>
      <c r="J137" s="359" t="s">
        <v>0</v>
      </c>
      <c r="K137" s="359" t="s">
        <v>2</v>
      </c>
      <c r="L137" s="359" t="s">
        <v>3</v>
      </c>
      <c r="M137" s="359" t="s">
        <v>8</v>
      </c>
      <c r="N137" s="359" t="s">
        <v>5</v>
      </c>
      <c r="O137" s="359" t="s">
        <v>6</v>
      </c>
      <c r="P137" s="359" t="s">
        <v>7</v>
      </c>
      <c r="Q137" s="359" t="s">
        <v>9</v>
      </c>
      <c r="R137" s="367" t="s">
        <v>10</v>
      </c>
      <c r="S137" s="359" t="s">
        <v>11</v>
      </c>
      <c r="T137" s="368" t="s">
        <v>12</v>
      </c>
      <c r="V137" s="323"/>
      <c r="W137" s="1021" t="s">
        <v>281</v>
      </c>
      <c r="X137" s="275" t="s">
        <v>83</v>
      </c>
      <c r="Y137" s="1021" t="s">
        <v>282</v>
      </c>
      <c r="Z137" s="322" t="s">
        <v>89</v>
      </c>
      <c r="AA137" s="322" t="s">
        <v>85</v>
      </c>
      <c r="AB137" s="1035" t="s">
        <v>248</v>
      </c>
      <c r="AC137" s="360" t="s">
        <v>88</v>
      </c>
      <c r="AD137" s="360"/>
      <c r="AE137" s="360"/>
      <c r="AF137" s="323"/>
      <c r="AG137" s="323"/>
      <c r="AH137" s="323"/>
      <c r="AI137" s="323"/>
      <c r="AJ137" s="901" t="s">
        <v>217</v>
      </c>
      <c r="AK137" s="323"/>
      <c r="AL137" s="901" t="s">
        <v>225</v>
      </c>
      <c r="AM137" s="901" t="s">
        <v>219</v>
      </c>
      <c r="AN137" s="323"/>
      <c r="AO137" s="901" t="s">
        <v>226</v>
      </c>
      <c r="AP137" s="323"/>
      <c r="AQ137" s="901" t="s">
        <v>224</v>
      </c>
      <c r="AR137" s="323"/>
      <c r="AS137" s="323"/>
      <c r="AT137" s="323"/>
      <c r="AU137" s="323" t="s">
        <v>255</v>
      </c>
      <c r="AV137" s="323"/>
      <c r="AW137" s="323"/>
      <c r="AX137" s="323"/>
      <c r="AY137" s="318"/>
      <c r="AZ137" s="323"/>
      <c r="BA137" s="323"/>
      <c r="BB137" s="323"/>
      <c r="BC137" s="212"/>
      <c r="BE137" s="119"/>
      <c r="BF137" s="119"/>
      <c r="BG137" s="119"/>
      <c r="BH137" s="119"/>
      <c r="BI137" s="119"/>
      <c r="BJ137" s="119"/>
      <c r="BK137" s="119"/>
      <c r="BL137" s="119"/>
      <c r="BM137" s="305"/>
      <c r="BN137" s="119"/>
      <c r="BO137" s="863"/>
      <c r="BP137" s="109"/>
      <c r="BQ137" s="109"/>
      <c r="BR137" s="109"/>
      <c r="BS137" s="109"/>
      <c r="BT137" s="109"/>
      <c r="BU137" s="109"/>
      <c r="BV137" s="186"/>
      <c r="BW137" s="186"/>
      <c r="BX137" s="186"/>
      <c r="BY137" s="186"/>
      <c r="BZ137" s="186"/>
      <c r="CA137" s="186"/>
      <c r="CB137" s="186"/>
      <c r="CC137" s="186"/>
      <c r="CD137" s="186"/>
      <c r="CE137" s="186"/>
      <c r="CF137" s="186"/>
      <c r="CG137" s="186"/>
      <c r="CH137" s="186"/>
      <c r="CI137" s="186"/>
    </row>
    <row r="138" spans="2:108" ht="27.75" customHeight="1" thickBot="1" x14ac:dyDescent="0.25">
      <c r="B138" s="398"/>
      <c r="C138" s="218"/>
      <c r="D138" s="399" t="s">
        <v>20</v>
      </c>
      <c r="E138" s="277"/>
      <c r="F138" s="400"/>
      <c r="G138" s="221"/>
      <c r="H138" s="370"/>
      <c r="I138" s="371"/>
      <c r="R138" s="367"/>
      <c r="T138" s="372"/>
      <c r="V138" s="323"/>
      <c r="W138" s="323"/>
      <c r="X138" s="323"/>
      <c r="Y138" s="323"/>
      <c r="Z138" s="323"/>
      <c r="AA138" s="323"/>
      <c r="AC138" s="383">
        <f>SUM(AC139:AC164)</f>
        <v>213.34350003963542</v>
      </c>
      <c r="AD138" s="37"/>
      <c r="AE138" s="37"/>
      <c r="AF138" s="323" t="s">
        <v>36</v>
      </c>
      <c r="AG138" s="323"/>
      <c r="AH138" s="328" t="s">
        <v>29</v>
      </c>
      <c r="AI138" s="401"/>
      <c r="AJ138" s="905" t="s">
        <v>218</v>
      </c>
      <c r="AK138" s="329" t="s">
        <v>30</v>
      </c>
      <c r="AL138" s="1016" t="s">
        <v>31</v>
      </c>
      <c r="AM138" s="905" t="s">
        <v>220</v>
      </c>
      <c r="AN138" s="330" t="s">
        <v>32</v>
      </c>
      <c r="AO138" s="905" t="s">
        <v>33</v>
      </c>
      <c r="AP138" s="331" t="s">
        <v>45</v>
      </c>
      <c r="AQ138" s="1000" t="s">
        <v>34</v>
      </c>
      <c r="AR138" s="331" t="s">
        <v>254</v>
      </c>
      <c r="AS138" s="323" t="s">
        <v>35</v>
      </c>
      <c r="AT138" s="323" t="s">
        <v>37</v>
      </c>
      <c r="AU138" s="331" t="s">
        <v>256</v>
      </c>
      <c r="AV138" s="323"/>
      <c r="AW138" s="332" t="s">
        <v>39</v>
      </c>
      <c r="AX138" s="332" t="s">
        <v>40</v>
      </c>
      <c r="AY138" s="333" t="s">
        <v>21</v>
      </c>
      <c r="AZ138" s="333" t="s">
        <v>22</v>
      </c>
      <c r="BA138" s="435" t="s">
        <v>21</v>
      </c>
      <c r="BB138" s="435" t="s">
        <v>22</v>
      </c>
      <c r="BE138" s="119"/>
      <c r="BF138" s="119"/>
      <c r="BG138" s="119"/>
      <c r="BH138" s="119"/>
      <c r="BI138" s="119"/>
      <c r="BJ138" s="119"/>
      <c r="BL138" s="187" t="s">
        <v>53</v>
      </c>
      <c r="BM138" s="305"/>
      <c r="BN138" s="170"/>
      <c r="BO138" s="863"/>
      <c r="BP138" s="48"/>
      <c r="BS138" s="109"/>
      <c r="BT138" s="109"/>
      <c r="BU138" s="109"/>
      <c r="BV138" s="186"/>
      <c r="BW138" s="186"/>
      <c r="BX138" s="186"/>
      <c r="BY138" s="186"/>
      <c r="BZ138" s="186"/>
      <c r="CA138" s="186"/>
      <c r="CB138" s="186"/>
      <c r="CC138" s="186"/>
      <c r="CD138" s="186"/>
      <c r="CE138" s="186"/>
      <c r="CF138" s="186"/>
      <c r="CG138" s="186"/>
      <c r="CH138" s="186"/>
      <c r="CI138" s="186"/>
      <c r="CR138" s="48"/>
      <c r="DD138" s="187" t="s">
        <v>52</v>
      </c>
    </row>
    <row r="139" spans="2:108" ht="21" customHeight="1" thickBot="1" x14ac:dyDescent="0.25">
      <c r="B139" s="232">
        <v>1</v>
      </c>
      <c r="C139" s="233">
        <f>+(B133*-1)+D139</f>
        <v>1</v>
      </c>
      <c r="D139" s="16">
        <v>1</v>
      </c>
      <c r="E139" s="234" t="s">
        <v>106</v>
      </c>
      <c r="F139" s="235"/>
      <c r="G139" s="235">
        <f>+D139</f>
        <v>1</v>
      </c>
      <c r="H139" s="888">
        <v>251.073172</v>
      </c>
      <c r="I139" s="889">
        <v>65.636175100000003</v>
      </c>
      <c r="J139" s="374">
        <f>+I139-C139</f>
        <v>64.636175100000003</v>
      </c>
      <c r="K139" s="374">
        <f>+J139/2</f>
        <v>32.318087550000001</v>
      </c>
      <c r="L139" s="374">
        <f t="shared" ref="L139:L164" si="5">SIN(K139*3.14159265358979/180)</f>
        <v>0.53461916118589337</v>
      </c>
      <c r="M139" s="374">
        <f t="shared" ref="M139:M164" si="6">+L139*H139</f>
        <v>134.22852861092153</v>
      </c>
      <c r="N139" s="374">
        <f t="shared" ref="N139:N164" si="7">+M139*2</f>
        <v>268.45705722184306</v>
      </c>
      <c r="O139" s="374">
        <f>+C139/2</f>
        <v>0.5</v>
      </c>
      <c r="P139" s="374">
        <f t="shared" ref="P139:P164" si="8">SIN(O139*3.14159265358979/180)</f>
        <v>8.726535498373926E-3</v>
      </c>
      <c r="Q139" s="374">
        <f t="shared" ref="Q139:Q164" si="9">+P139*N139</f>
        <v>2.3427000396354138</v>
      </c>
      <c r="R139" s="963">
        <v>211.0008</v>
      </c>
      <c r="S139" s="374">
        <f>+R139+Q139</f>
        <v>213.34350003963542</v>
      </c>
      <c r="T139" s="375">
        <f t="shared" ref="T139:T164" si="10">+S139</f>
        <v>213.34350003963542</v>
      </c>
      <c r="V139" s="929">
        <f t="shared" ref="V139:V164" si="11">IF(B139&lt;($B$136+1),T139,0)</f>
        <v>213.34350003963542</v>
      </c>
      <c r="W139" s="340">
        <v>32.818087599999998</v>
      </c>
      <c r="X139" s="340">
        <f>+W139+AI166</f>
        <v>33.818087599999998</v>
      </c>
      <c r="Y139" s="340">
        <v>251.073172</v>
      </c>
      <c r="Z139" s="340">
        <f>+COS(X139*3.14159265358979/180)*Y139</f>
        <v>208.59380373499741</v>
      </c>
      <c r="AA139" s="340">
        <f>+AC138-Z139</f>
        <v>4.7496963046380074</v>
      </c>
      <c r="AB139" s="235" t="str">
        <f>IF(AZ139&lt;0,"use the locking pin"," ")</f>
        <v xml:space="preserve"> </v>
      </c>
      <c r="AC139" s="377">
        <f>IF(AD139=1,AF139)</f>
        <v>213.34350003963542</v>
      </c>
      <c r="AD139" s="377">
        <f>MAX(AE$139:AE$164)</f>
        <v>1</v>
      </c>
      <c r="AE139" s="377">
        <f>IF(V139=0,0,1)</f>
        <v>1</v>
      </c>
      <c r="AF139" s="966">
        <f>SUM(V139:V164)/($B$136)</f>
        <v>213.34350003963542</v>
      </c>
      <c r="AG139" s="971"/>
      <c r="AH139" s="353">
        <f>C139</f>
        <v>1</v>
      </c>
      <c r="AI139" s="944">
        <f>IF(B139&lt;($B$136+1),AH139)</f>
        <v>1</v>
      </c>
      <c r="AJ139" s="575">
        <f>75.4990086-AH139</f>
        <v>74.499008599999996</v>
      </c>
      <c r="AK139" s="944">
        <f t="shared" ref="AK139:AK164" si="12">SIN(AJ139*3.14159265358979/180)</f>
        <v>0.96362582898684701</v>
      </c>
      <c r="AL139" s="944">
        <f>+AK139*290.642868</f>
        <v>280.07097461561477</v>
      </c>
      <c r="AM139" s="968">
        <f>57.1819124+AH139</f>
        <v>58.181912400000002</v>
      </c>
      <c r="AN139" s="944">
        <f>SIN(AM139*3.14159265358979/180)</f>
        <v>0.84972629692714396</v>
      </c>
      <c r="AO139" s="969">
        <f>+AN139*251.073172</f>
        <v>213.34347670131189</v>
      </c>
      <c r="AP139" s="342">
        <f t="shared" ref="AP139:AP158" si="13">+((AF139*AQ139)+($AG$177*$AQ$177)+($AQ$201*$AG$201))/AR139</f>
        <v>195.68308345680066</v>
      </c>
      <c r="AQ139" s="347">
        <f>$C$14*B136</f>
        <v>29.3</v>
      </c>
      <c r="AR139" s="347">
        <f t="shared" ref="AR139:AR158" si="14">+AQ139+$AQ$201+$AQ$177+31+31</f>
        <v>192.6</v>
      </c>
      <c r="AS139" s="348">
        <f>+AO139+AL139</f>
        <v>493.41445131692666</v>
      </c>
      <c r="AT139" s="348">
        <f>+V139-AO139</f>
        <v>2.3338323529742411E-5</v>
      </c>
      <c r="AU139" s="348">
        <f>+AP139-AT139</f>
        <v>195.68306011847713</v>
      </c>
      <c r="AV139" s="350"/>
      <c r="AW139" s="350">
        <f>+((AS139-AU139)/AS139)*AR139</f>
        <v>116.21683514086855</v>
      </c>
      <c r="AX139" s="351">
        <f>+(AU139/AS139)*AR139</f>
        <v>76.38316485913144</v>
      </c>
      <c r="AY139" s="351">
        <f t="shared" ref="AY139:AY164" si="15">2*$C$18/AW139</f>
        <v>99.81342191894511</v>
      </c>
      <c r="AZ139" s="1043">
        <f t="shared" ref="AZ139:AZ164" si="16">$D$18/AX139</f>
        <v>130.91890102278896</v>
      </c>
      <c r="BA139" s="241">
        <f>ABS(AY139)</f>
        <v>99.81342191894511</v>
      </c>
      <c r="BB139" s="242">
        <f>ABS(AZ139)</f>
        <v>130.91890102278896</v>
      </c>
      <c r="BC139" s="74"/>
      <c r="BE139" s="119"/>
      <c r="BF139" s="119"/>
      <c r="BG139" s="119"/>
      <c r="BH139" s="119"/>
      <c r="BI139" s="119"/>
      <c r="BJ139" s="119"/>
      <c r="BK139" s="195"/>
      <c r="BL139" s="187">
        <f>-+BH170</f>
        <v>700.31010752822385</v>
      </c>
      <c r="BM139" s="305"/>
      <c r="BN139" s="170"/>
      <c r="BO139" s="863"/>
      <c r="BP139" s="48"/>
      <c r="BS139" s="109"/>
      <c r="BT139" s="109"/>
      <c r="BU139" s="109"/>
      <c r="BV139" s="186"/>
      <c r="BW139" s="186"/>
      <c r="BX139" s="186"/>
      <c r="BY139" s="186"/>
      <c r="BZ139" s="186"/>
      <c r="CA139" s="186"/>
      <c r="CB139" s="186"/>
      <c r="CC139" s="186"/>
      <c r="CD139" s="186"/>
      <c r="CE139" s="186"/>
      <c r="CF139" s="186"/>
      <c r="CG139" s="186"/>
      <c r="CH139" s="186"/>
      <c r="CI139" s="186"/>
      <c r="CP139" s="195"/>
      <c r="CR139" s="48"/>
      <c r="DD139" s="187">
        <f>+-BH209</f>
        <v>-847.68989247177615</v>
      </c>
    </row>
    <row r="140" spans="2:108" ht="21" customHeight="1" thickBot="1" x14ac:dyDescent="0.25">
      <c r="B140" s="244">
        <v>2</v>
      </c>
      <c r="C140" s="245"/>
      <c r="D140" s="16">
        <v>1</v>
      </c>
      <c r="E140" s="234" t="s">
        <v>215</v>
      </c>
      <c r="F140" s="235"/>
      <c r="G140" s="235" t="e">
        <f>+D140+BC140</f>
        <v>#DIV/0!</v>
      </c>
      <c r="H140" s="888">
        <v>251.073172</v>
      </c>
      <c r="I140" s="889">
        <v>65.636175100000003</v>
      </c>
      <c r="J140" s="374">
        <f t="shared" ref="J140:J164" si="17">+I140-D140</f>
        <v>64.636175100000003</v>
      </c>
      <c r="K140" s="374">
        <f t="shared" ref="K140:K164" si="18">+J140/2</f>
        <v>32.318087550000001</v>
      </c>
      <c r="L140" s="374">
        <f t="shared" si="5"/>
        <v>0.53461916118589337</v>
      </c>
      <c r="M140" s="374">
        <f t="shared" si="6"/>
        <v>134.22852861092153</v>
      </c>
      <c r="N140" s="374">
        <f t="shared" si="7"/>
        <v>268.45705722184306</v>
      </c>
      <c r="O140" s="374">
        <f>+C139+(D140/2)</f>
        <v>1.5</v>
      </c>
      <c r="P140" s="374">
        <f t="shared" si="8"/>
        <v>2.6176948307873125E-2</v>
      </c>
      <c r="Q140" s="374">
        <f t="shared" si="9"/>
        <v>7.0273865097799231</v>
      </c>
      <c r="R140" s="374">
        <f t="shared" ref="R140:R164" si="19">+T139</f>
        <v>213.34350003963542</v>
      </c>
      <c r="S140" s="374">
        <f>+R140+Q140</f>
        <v>220.37088654941533</v>
      </c>
      <c r="T140" s="375">
        <f t="shared" si="10"/>
        <v>220.37088654941533</v>
      </c>
      <c r="V140" s="929">
        <f t="shared" si="11"/>
        <v>0</v>
      </c>
      <c r="W140" s="340"/>
      <c r="X140" s="340"/>
      <c r="Y140" s="340"/>
      <c r="Z140" s="340"/>
      <c r="AA140" s="340"/>
      <c r="AB140" s="247" t="e">
        <f>IF(AZ140&lt;0,"use the locking pin"," ")</f>
        <v>#DIV/0!</v>
      </c>
      <c r="AC140" s="377" t="b">
        <f>IF(AD140=2,AF140)</f>
        <v>0</v>
      </c>
      <c r="AD140" s="377">
        <f t="shared" ref="AD140:AD164" si="20">MAX(AE$139:AE$164)</f>
        <v>1</v>
      </c>
      <c r="AE140" s="377">
        <f>IF(V140=0,0,2)</f>
        <v>0</v>
      </c>
      <c r="AF140" s="966" t="e">
        <f>SUM(V140:V158)/($B$136-B139)</f>
        <v>#DIV/0!</v>
      </c>
      <c r="AG140" s="971"/>
      <c r="AH140" s="353">
        <f>SUM(D140)+$C$139</f>
        <v>2</v>
      </c>
      <c r="AI140" s="944" t="b">
        <f t="shared" ref="AI140:AI164" si="21">IF(B140&lt;($B$136+1),AH140)</f>
        <v>0</v>
      </c>
      <c r="AJ140" s="575">
        <f t="shared" ref="AJ140:AJ164" si="22">75.4990086-AH140</f>
        <v>73.499008599999996</v>
      </c>
      <c r="AK140" s="944">
        <f t="shared" si="12"/>
        <v>0.95881482035199095</v>
      </c>
      <c r="AL140" s="944">
        <f t="shared" ref="AL140:AL164" si="23">+AK140*290.642868</f>
        <v>278.67268926800745</v>
      </c>
      <c r="AM140" s="968">
        <f t="shared" ref="AM140:AM164" si="24">57.1819124+AH140</f>
        <v>59.181912400000002</v>
      </c>
      <c r="AN140" s="944">
        <f t="shared" ref="AN140:AN164" si="25">SIN(AM140*3.14159265358979/180)</f>
        <v>0.85879820825488717</v>
      </c>
      <c r="AO140" s="969">
        <f t="shared" ref="AO140:AO164" si="26">+AN140*251.073172</f>
        <v>215.62119025447112</v>
      </c>
      <c r="AP140" s="251" t="e">
        <f t="shared" si="13"/>
        <v>#DIV/0!</v>
      </c>
      <c r="AQ140" s="347">
        <f>$C$14*($B$136-B139)</f>
        <v>0</v>
      </c>
      <c r="AR140" s="347">
        <f t="shared" si="14"/>
        <v>163.30000000000001</v>
      </c>
      <c r="AS140" s="348">
        <f t="shared" ref="AS140:AS164" si="27">+AO140+AL140</f>
        <v>494.29387952247856</v>
      </c>
      <c r="AT140" s="348">
        <f>+V140-AO140</f>
        <v>-215.62119025447112</v>
      </c>
      <c r="AU140" s="348" t="e">
        <f t="shared" ref="AU140:AU164" si="28">+AP140-AT140</f>
        <v>#DIV/0!</v>
      </c>
      <c r="AV140" s="350"/>
      <c r="AW140" s="350" t="e">
        <f t="shared" ref="AW140:AW164" si="29">+((AS140-AU140)/AS140)*AR140</f>
        <v>#DIV/0!</v>
      </c>
      <c r="AX140" s="351" t="e">
        <f t="shared" ref="AX140:AX164" si="30">+(AU140/AS140)*AR140</f>
        <v>#DIV/0!</v>
      </c>
      <c r="AY140" s="351" t="e">
        <f t="shared" si="15"/>
        <v>#DIV/0!</v>
      </c>
      <c r="AZ140" s="1043" t="e">
        <f t="shared" si="16"/>
        <v>#DIV/0!</v>
      </c>
      <c r="BA140" s="241" t="e">
        <f t="shared" ref="BA140:BB159" si="31">ABS(AY140)</f>
        <v>#DIV/0!</v>
      </c>
      <c r="BB140" s="256" t="e">
        <f t="shared" si="31"/>
        <v>#DIV/0!</v>
      </c>
      <c r="BC140" t="e">
        <f t="shared" ref="BC140:BC164" si="32">IF(AZ140&lt;0,0.3,0)</f>
        <v>#DIV/0!</v>
      </c>
      <c r="BM140" s="305"/>
      <c r="BN140" s="119"/>
      <c r="BO140" s="863"/>
      <c r="BP140" s="109"/>
      <c r="BQ140" s="109"/>
      <c r="BR140" s="109"/>
      <c r="BS140" s="109"/>
      <c r="BT140" s="109"/>
      <c r="BU140" s="109"/>
      <c r="BV140" s="186"/>
      <c r="BW140" s="186"/>
      <c r="BX140" s="186"/>
      <c r="BY140" s="186"/>
      <c r="BZ140" s="186"/>
      <c r="CA140" s="186"/>
      <c r="CB140" s="186"/>
      <c r="CC140" s="186"/>
      <c r="CD140" s="186"/>
      <c r="CE140" s="186"/>
      <c r="CF140" s="186"/>
      <c r="CG140" s="186"/>
      <c r="CH140" s="186"/>
      <c r="CI140" s="186"/>
    </row>
    <row r="141" spans="2:108" ht="21" customHeight="1" thickBot="1" x14ac:dyDescent="0.35">
      <c r="B141" s="244">
        <v>3</v>
      </c>
      <c r="C141" s="245"/>
      <c r="D141" s="16">
        <v>1</v>
      </c>
      <c r="E141" s="234" t="s">
        <v>215</v>
      </c>
      <c r="F141" s="235"/>
      <c r="G141" s="235">
        <f>+D141+BC141</f>
        <v>1</v>
      </c>
      <c r="H141" s="888">
        <v>251.073172</v>
      </c>
      <c r="I141" s="889">
        <v>65.636175100000003</v>
      </c>
      <c r="J141" s="374">
        <f t="shared" si="17"/>
        <v>64.636175100000003</v>
      </c>
      <c r="K141" s="374">
        <f t="shared" si="18"/>
        <v>32.318087550000001</v>
      </c>
      <c r="L141" s="374">
        <f t="shared" si="5"/>
        <v>0.53461916118589337</v>
      </c>
      <c r="M141" s="374">
        <f t="shared" si="6"/>
        <v>134.22852861092153</v>
      </c>
      <c r="N141" s="374">
        <f t="shared" si="7"/>
        <v>268.45705722184306</v>
      </c>
      <c r="O141" s="374">
        <f>+C139+D140+(D141/2)</f>
        <v>2.5</v>
      </c>
      <c r="P141" s="374">
        <f t="shared" si="8"/>
        <v>4.3619387365335958E-2</v>
      </c>
      <c r="Q141" s="374">
        <f t="shared" si="9"/>
        <v>11.709932369917734</v>
      </c>
      <c r="R141" s="374">
        <f t="shared" si="19"/>
        <v>220.37088654941533</v>
      </c>
      <c r="S141" s="374">
        <f t="shared" ref="S141:S164" si="33">+S140+Q141</f>
        <v>232.08081891933307</v>
      </c>
      <c r="T141" s="375">
        <f t="shared" si="10"/>
        <v>232.08081891933307</v>
      </c>
      <c r="V141" s="929">
        <f t="shared" si="11"/>
        <v>0</v>
      </c>
      <c r="W141" s="340"/>
      <c r="X141" s="340"/>
      <c r="Y141" s="340"/>
      <c r="Z141" s="340"/>
      <c r="AA141" s="340"/>
      <c r="AB141" s="257" t="str">
        <f t="shared" ref="AB141:AB164" si="34">IF(AZ141&lt;0,"use the locking pin"," ")</f>
        <v xml:space="preserve"> </v>
      </c>
      <c r="AC141" s="377" t="b">
        <f>IF(AD141=3,AF141)</f>
        <v>0</v>
      </c>
      <c r="AD141" s="377">
        <f t="shared" si="20"/>
        <v>1</v>
      </c>
      <c r="AE141" s="377">
        <f>IF(V141=0,0,3)</f>
        <v>0</v>
      </c>
      <c r="AF141" s="966">
        <f>SUM(V141:V164)/($B$136-B140)</f>
        <v>0</v>
      </c>
      <c r="AG141" s="971"/>
      <c r="AH141" s="353">
        <f>SUM(D140:D141)+$C$139</f>
        <v>3</v>
      </c>
      <c r="AI141" s="944" t="b">
        <f t="shared" si="21"/>
        <v>0</v>
      </c>
      <c r="AJ141" s="575">
        <f t="shared" si="22"/>
        <v>72.499008599999996</v>
      </c>
      <c r="AK141" s="944">
        <f t="shared" si="12"/>
        <v>0.95371174743460796</v>
      </c>
      <c r="AL141" s="944">
        <f t="shared" si="23"/>
        <v>277.18951751968609</v>
      </c>
      <c r="AM141" s="968">
        <f t="shared" si="24"/>
        <v>60.181912400000002</v>
      </c>
      <c r="AN141" s="944">
        <f t="shared" si="25"/>
        <v>0.86760852132903066</v>
      </c>
      <c r="AO141" s="969">
        <f t="shared" si="26"/>
        <v>217.83322350430939</v>
      </c>
      <c r="AP141" s="251">
        <f t="shared" si="13"/>
        <v>234.60893524342154</v>
      </c>
      <c r="AQ141" s="347">
        <f t="shared" ref="AQ141:AQ164" si="35">$C$14*($B$136-B140)</f>
        <v>-29.3</v>
      </c>
      <c r="AR141" s="347">
        <f t="shared" si="14"/>
        <v>134</v>
      </c>
      <c r="AS141" s="348">
        <f t="shared" si="27"/>
        <v>495.02274102399548</v>
      </c>
      <c r="AT141" s="348">
        <f>+V141-AO141</f>
        <v>-217.83322350430939</v>
      </c>
      <c r="AU141" s="348">
        <f t="shared" si="28"/>
        <v>452.4421587477309</v>
      </c>
      <c r="AV141" s="350"/>
      <c r="AW141" s="350">
        <f t="shared" si="29"/>
        <v>11.526335160313117</v>
      </c>
      <c r="AX141" s="351">
        <f t="shared" si="30"/>
        <v>122.47366483968689</v>
      </c>
      <c r="AY141" s="351">
        <f t="shared" si="15"/>
        <v>1006.3910027482561</v>
      </c>
      <c r="AZ141" s="1043">
        <f t="shared" si="16"/>
        <v>81.650206296101274</v>
      </c>
      <c r="BA141" s="241">
        <f t="shared" si="31"/>
        <v>1006.3910027482561</v>
      </c>
      <c r="BB141" s="242">
        <f t="shared" si="31"/>
        <v>81.650206296101274</v>
      </c>
      <c r="BC141">
        <f t="shared" si="32"/>
        <v>0</v>
      </c>
      <c r="BM141" s="197"/>
      <c r="BN141" s="197"/>
      <c r="BO141" s="197"/>
      <c r="BP141" s="109"/>
      <c r="BQ141" s="109"/>
      <c r="BR141" s="109"/>
      <c r="BS141" s="109"/>
      <c r="BT141" s="109"/>
      <c r="BU141" s="109"/>
      <c r="BV141" s="186"/>
      <c r="BW141" s="186"/>
      <c r="BX141" s="186"/>
      <c r="BY141" s="186"/>
      <c r="BZ141" s="186"/>
      <c r="CA141" s="186"/>
      <c r="CB141" s="186"/>
      <c r="CC141" s="186"/>
      <c r="CD141" s="186"/>
      <c r="CE141" s="186"/>
      <c r="CF141" s="186"/>
      <c r="CG141" s="186"/>
      <c r="CH141" s="186"/>
      <c r="CI141" s="186"/>
    </row>
    <row r="142" spans="2:108" ht="21" customHeight="1" thickBot="1" x14ac:dyDescent="0.35">
      <c r="B142" s="244">
        <v>4</v>
      </c>
      <c r="C142" s="245"/>
      <c r="D142" s="16">
        <v>1</v>
      </c>
      <c r="E142" s="234" t="s">
        <v>215</v>
      </c>
      <c r="F142" s="235"/>
      <c r="G142" s="235">
        <f>+D142+BC142</f>
        <v>1</v>
      </c>
      <c r="H142" s="888">
        <v>251.073172</v>
      </c>
      <c r="I142" s="889">
        <v>65.636175100000003</v>
      </c>
      <c r="J142" s="374">
        <f t="shared" si="17"/>
        <v>64.636175100000003</v>
      </c>
      <c r="K142" s="374">
        <f t="shared" si="18"/>
        <v>32.318087550000001</v>
      </c>
      <c r="L142" s="374">
        <f t="shared" si="5"/>
        <v>0.53461916118589337</v>
      </c>
      <c r="M142" s="374">
        <f t="shared" si="6"/>
        <v>134.22852861092153</v>
      </c>
      <c r="N142" s="374">
        <f t="shared" si="7"/>
        <v>268.45705722184306</v>
      </c>
      <c r="O142" s="374">
        <f>+C139+D140+D141+(D142/2)</f>
        <v>3.5</v>
      </c>
      <c r="P142" s="374">
        <f t="shared" si="8"/>
        <v>6.1048539534856811E-2</v>
      </c>
      <c r="Q142" s="374">
        <f t="shared" si="9"/>
        <v>16.388911271219001</v>
      </c>
      <c r="R142" s="374">
        <f t="shared" si="19"/>
        <v>232.08081891933307</v>
      </c>
      <c r="S142" s="374">
        <f t="shared" si="33"/>
        <v>248.46973019055207</v>
      </c>
      <c r="T142" s="375">
        <f t="shared" si="10"/>
        <v>248.46973019055207</v>
      </c>
      <c r="V142" s="929">
        <f t="shared" si="11"/>
        <v>0</v>
      </c>
      <c r="W142" s="340"/>
      <c r="X142" s="340"/>
      <c r="Y142" s="340"/>
      <c r="Z142" s="340"/>
      <c r="AA142" s="340"/>
      <c r="AB142" s="257" t="str">
        <f t="shared" si="34"/>
        <v xml:space="preserve"> </v>
      </c>
      <c r="AC142" s="377" t="b">
        <f>IF(AD142=4,AF142)</f>
        <v>0</v>
      </c>
      <c r="AD142" s="377">
        <f t="shared" si="20"/>
        <v>1</v>
      </c>
      <c r="AE142" s="377">
        <f>IF(V142=0,0,4)</f>
        <v>0</v>
      </c>
      <c r="AF142" s="966">
        <f>SUM(V142:V164)/($B$136-B141)</f>
        <v>0</v>
      </c>
      <c r="AG142" s="971"/>
      <c r="AH142" s="353">
        <f>SUM(D140:D142)+$C$139</f>
        <v>4</v>
      </c>
      <c r="AI142" s="944" t="b">
        <f t="shared" si="21"/>
        <v>0</v>
      </c>
      <c r="AJ142" s="575">
        <f t="shared" si="22"/>
        <v>71.499008599999996</v>
      </c>
      <c r="AK142" s="944">
        <f t="shared" si="12"/>
        <v>0.94831816468014318</v>
      </c>
      <c r="AL142" s="944">
        <f t="shared" si="23"/>
        <v>275.62191115913316</v>
      </c>
      <c r="AM142" s="968">
        <f t="shared" si="24"/>
        <v>61.181912400000002</v>
      </c>
      <c r="AN142" s="944">
        <f t="shared" si="25"/>
        <v>0.876154552442865</v>
      </c>
      <c r="AO142" s="969">
        <f t="shared" si="26"/>
        <v>219.97890264407047</v>
      </c>
      <c r="AP142" s="251">
        <f t="shared" si="13"/>
        <v>300.26358474325201</v>
      </c>
      <c r="AQ142" s="347">
        <f t="shared" si="35"/>
        <v>-58.6</v>
      </c>
      <c r="AR142" s="347">
        <f t="shared" si="14"/>
        <v>104.7</v>
      </c>
      <c r="AS142" s="348">
        <f t="shared" si="27"/>
        <v>495.60081380320366</v>
      </c>
      <c r="AT142" s="348">
        <f>+V142-AO142</f>
        <v>-219.97890264407047</v>
      </c>
      <c r="AU142" s="348">
        <f t="shared" si="28"/>
        <v>520.24248738732251</v>
      </c>
      <c r="AV142" s="350"/>
      <c r="AW142" s="350">
        <f t="shared" si="29"/>
        <v>-5.2057687404882262</v>
      </c>
      <c r="AX142" s="351">
        <f t="shared" si="30"/>
        <v>109.90576874048823</v>
      </c>
      <c r="AY142" s="351">
        <f t="shared" si="15"/>
        <v>-2228.2972176194071</v>
      </c>
      <c r="AZ142" s="1043">
        <f t="shared" si="16"/>
        <v>90.987034753491486</v>
      </c>
      <c r="BA142" s="241">
        <f t="shared" si="31"/>
        <v>2228.2972176194071</v>
      </c>
      <c r="BB142" s="242">
        <f t="shared" si="31"/>
        <v>90.987034753491486</v>
      </c>
      <c r="BC142">
        <f t="shared" si="32"/>
        <v>0</v>
      </c>
      <c r="BM142" s="197"/>
      <c r="BN142" s="197"/>
      <c r="BO142" s="197"/>
      <c r="BP142" s="109"/>
      <c r="BQ142" s="109"/>
      <c r="BR142" s="109"/>
      <c r="BS142" s="109"/>
      <c r="BT142" s="109"/>
      <c r="BU142" s="109"/>
      <c r="BV142" s="186"/>
      <c r="BW142" s="186"/>
      <c r="BX142" s="186"/>
      <c r="BY142" s="186"/>
      <c r="BZ142" s="186"/>
      <c r="CA142" s="186"/>
      <c r="CB142" s="186"/>
      <c r="CC142" s="186"/>
      <c r="CD142" s="186"/>
      <c r="CE142" s="186"/>
      <c r="CF142" s="186"/>
      <c r="CG142" s="186"/>
      <c r="CH142" s="186"/>
      <c r="CI142" s="186"/>
    </row>
    <row r="143" spans="2:108" ht="21" customHeight="1" thickBot="1" x14ac:dyDescent="0.35">
      <c r="B143" s="244">
        <v>5</v>
      </c>
      <c r="C143" s="245"/>
      <c r="D143" s="16">
        <v>1</v>
      </c>
      <c r="E143" s="234" t="s">
        <v>215</v>
      </c>
      <c r="F143" s="235"/>
      <c r="G143" s="235">
        <f>+D143+BC143</f>
        <v>1</v>
      </c>
      <c r="H143" s="888">
        <v>251.073172</v>
      </c>
      <c r="I143" s="889">
        <v>65.636175100000003</v>
      </c>
      <c r="J143" s="374">
        <f t="shared" si="17"/>
        <v>64.636175100000003</v>
      </c>
      <c r="K143" s="374">
        <f t="shared" si="18"/>
        <v>32.318087550000001</v>
      </c>
      <c r="L143" s="374">
        <f t="shared" si="5"/>
        <v>0.53461916118589337</v>
      </c>
      <c r="M143" s="374">
        <f t="shared" si="6"/>
        <v>134.22852861092153</v>
      </c>
      <c r="N143" s="374">
        <f t="shared" si="7"/>
        <v>268.45705722184306</v>
      </c>
      <c r="O143" s="374">
        <f>+C139+D140+D141+D142+(D143/2)</f>
        <v>4.5</v>
      </c>
      <c r="P143" s="374">
        <f t="shared" si="8"/>
        <v>7.845909572784486E-2</v>
      </c>
      <c r="Q143" s="374">
        <f t="shared" si="9"/>
        <v>21.062897951384109</v>
      </c>
      <c r="R143" s="374">
        <f t="shared" si="19"/>
        <v>248.46973019055207</v>
      </c>
      <c r="S143" s="374">
        <f t="shared" si="33"/>
        <v>269.53262814193619</v>
      </c>
      <c r="T143" s="375">
        <f t="shared" si="10"/>
        <v>269.53262814193619</v>
      </c>
      <c r="V143" s="929">
        <f t="shared" si="11"/>
        <v>0</v>
      </c>
      <c r="W143" s="340"/>
      <c r="X143" s="340"/>
      <c r="Y143" s="340"/>
      <c r="Z143" s="340"/>
      <c r="AA143" s="340"/>
      <c r="AB143" s="257" t="str">
        <f t="shared" si="34"/>
        <v xml:space="preserve"> </v>
      </c>
      <c r="AC143" s="377" t="b">
        <f>IF(AD143=5,AF143)</f>
        <v>0</v>
      </c>
      <c r="AD143" s="377">
        <f t="shared" si="20"/>
        <v>1</v>
      </c>
      <c r="AE143" s="377">
        <f>IF(V143=0,0,5)</f>
        <v>0</v>
      </c>
      <c r="AF143" s="966">
        <f>SUM(V143:V164)/($B$136-B142)</f>
        <v>0</v>
      </c>
      <c r="AG143" s="971"/>
      <c r="AH143" s="353">
        <f>SUM(D140:D143)+$C$139</f>
        <v>5</v>
      </c>
      <c r="AI143" s="944" t="b">
        <f t="shared" si="21"/>
        <v>0</v>
      </c>
      <c r="AJ143" s="575">
        <f t="shared" si="22"/>
        <v>70.499008599999996</v>
      </c>
      <c r="AK143" s="944">
        <f t="shared" si="12"/>
        <v>0.94263571502615251</v>
      </c>
      <c r="AL143" s="944">
        <f t="shared" si="23"/>
        <v>273.97034769443167</v>
      </c>
      <c r="AM143" s="968">
        <f t="shared" si="24"/>
        <v>62.181912400000002</v>
      </c>
      <c r="AN143" s="944">
        <f t="shared" si="25"/>
        <v>0.88443369839252528</v>
      </c>
      <c r="AO143" s="969">
        <f t="shared" si="26"/>
        <v>222.05757407910264</v>
      </c>
      <c r="AP143" s="251">
        <f t="shared" si="13"/>
        <v>416.94426157318952</v>
      </c>
      <c r="AQ143" s="347">
        <f t="shared" si="35"/>
        <v>-87.9</v>
      </c>
      <c r="AR143" s="347">
        <f t="shared" si="14"/>
        <v>75.399999999999991</v>
      </c>
      <c r="AS143" s="348">
        <f t="shared" si="27"/>
        <v>496.02792177353433</v>
      </c>
      <c r="AT143" s="348">
        <f t="shared" ref="AT143:AT164" si="36">+V143-AO143</f>
        <v>-222.05757407910264</v>
      </c>
      <c r="AU143" s="348">
        <f t="shared" si="28"/>
        <v>639.00183565229213</v>
      </c>
      <c r="AV143" s="350"/>
      <c r="AW143" s="350">
        <f t="shared" si="29"/>
        <v>-21.733117498534977</v>
      </c>
      <c r="AX143" s="351">
        <f t="shared" si="30"/>
        <v>97.133117498534972</v>
      </c>
      <c r="AY143" s="351">
        <f t="shared" si="15"/>
        <v>-533.74763196223239</v>
      </c>
      <c r="AZ143" s="1043">
        <f t="shared" si="16"/>
        <v>102.95149849535949</v>
      </c>
      <c r="BA143" s="241">
        <f t="shared" si="31"/>
        <v>533.74763196223239</v>
      </c>
      <c r="BB143" s="242">
        <f t="shared" si="31"/>
        <v>102.95149849535949</v>
      </c>
      <c r="BC143">
        <f t="shared" si="32"/>
        <v>0</v>
      </c>
      <c r="BM143" s="197"/>
      <c r="BN143" s="197"/>
      <c r="BO143" s="197"/>
      <c r="BP143" s="109"/>
      <c r="BQ143" s="109"/>
      <c r="BR143" s="109"/>
      <c r="BS143" s="109"/>
      <c r="BT143" s="109"/>
      <c r="BU143" s="109"/>
      <c r="BV143" s="186"/>
      <c r="BW143" s="186"/>
      <c r="BX143" s="186"/>
      <c r="BY143" s="186"/>
      <c r="BZ143" s="186"/>
      <c r="CA143" s="186"/>
      <c r="CB143" s="186"/>
      <c r="CC143" s="186"/>
      <c r="CD143" s="186"/>
      <c r="CE143" s="186"/>
      <c r="CF143" s="186"/>
      <c r="CG143" s="186"/>
      <c r="CH143" s="186"/>
      <c r="CI143" s="186"/>
    </row>
    <row r="144" spans="2:108" ht="21" customHeight="1" thickBot="1" x14ac:dyDescent="0.35">
      <c r="B144" s="244">
        <v>6</v>
      </c>
      <c r="C144" s="245"/>
      <c r="D144" s="16">
        <v>1</v>
      </c>
      <c r="E144" s="234" t="s">
        <v>215</v>
      </c>
      <c r="F144" s="235"/>
      <c r="G144" s="235">
        <f t="shared" ref="G144:G164" si="37">+D144+BC144</f>
        <v>1</v>
      </c>
      <c r="H144" s="888">
        <v>251.073172</v>
      </c>
      <c r="I144" s="889">
        <v>65.636175100000003</v>
      </c>
      <c r="J144" s="374">
        <f t="shared" si="17"/>
        <v>64.636175100000003</v>
      </c>
      <c r="K144" s="374">
        <f t="shared" si="18"/>
        <v>32.318087550000001</v>
      </c>
      <c r="L144" s="374">
        <f t="shared" si="5"/>
        <v>0.53461916118589337</v>
      </c>
      <c r="M144" s="374">
        <f t="shared" si="6"/>
        <v>134.22852861092153</v>
      </c>
      <c r="N144" s="374">
        <f t="shared" si="7"/>
        <v>268.45705722184306</v>
      </c>
      <c r="O144" s="374">
        <f>+C139+D140+D141+D142+D143+(D144/2)</f>
        <v>5.5</v>
      </c>
      <c r="P144" s="374">
        <f t="shared" si="8"/>
        <v>9.5845752520223898E-2</v>
      </c>
      <c r="Q144" s="374">
        <f t="shared" si="9"/>
        <v>25.730468668792355</v>
      </c>
      <c r="R144" s="374">
        <f t="shared" si="19"/>
        <v>269.53262814193619</v>
      </c>
      <c r="S144" s="374">
        <f t="shared" si="33"/>
        <v>295.26309681072854</v>
      </c>
      <c r="T144" s="375">
        <f t="shared" si="10"/>
        <v>295.26309681072854</v>
      </c>
      <c r="V144" s="929">
        <f t="shared" si="11"/>
        <v>0</v>
      </c>
      <c r="W144" s="340"/>
      <c r="X144" s="340"/>
      <c r="Y144" s="340"/>
      <c r="Z144" s="340"/>
      <c r="AA144" s="340"/>
      <c r="AB144" s="257" t="str">
        <f t="shared" si="34"/>
        <v xml:space="preserve"> </v>
      </c>
      <c r="AC144" s="377" t="b">
        <f>IF(AD144=6,AF144)</f>
        <v>0</v>
      </c>
      <c r="AD144" s="377">
        <f t="shared" si="20"/>
        <v>1</v>
      </c>
      <c r="AE144" s="377">
        <f>IF(V144=0,0,6)</f>
        <v>0</v>
      </c>
      <c r="AF144" s="966">
        <f>SUM(V144:V164)/($B$136-B143)</f>
        <v>0</v>
      </c>
      <c r="AG144" s="971"/>
      <c r="AH144" s="353">
        <f>SUM(D140:D144)+$C$139</f>
        <v>6</v>
      </c>
      <c r="AI144" s="944" t="b">
        <f t="shared" si="21"/>
        <v>0</v>
      </c>
      <c r="AJ144" s="575">
        <f t="shared" si="22"/>
        <v>69.499008599999996</v>
      </c>
      <c r="AK144" s="944">
        <f t="shared" si="12"/>
        <v>0.93666612940184768</v>
      </c>
      <c r="AL144" s="944">
        <f t="shared" si="23"/>
        <v>272.23533020781213</v>
      </c>
      <c r="AM144" s="968">
        <f t="shared" si="24"/>
        <v>63.181912400000002</v>
      </c>
      <c r="AN144" s="944">
        <f t="shared" si="25"/>
        <v>0.8924434372699539</v>
      </c>
      <c r="AO144" s="969">
        <f t="shared" si="26"/>
        <v>224.06860462595034</v>
      </c>
      <c r="AP144" s="251">
        <f t="shared" si="13"/>
        <v>681.94354278998901</v>
      </c>
      <c r="AQ144" s="347">
        <f t="shared" si="35"/>
        <v>-117.2</v>
      </c>
      <c r="AR144" s="347">
        <f t="shared" si="14"/>
        <v>46.099999999999994</v>
      </c>
      <c r="AS144" s="348">
        <f t="shared" si="27"/>
        <v>496.30393483376247</v>
      </c>
      <c r="AT144" s="348">
        <f t="shared" si="36"/>
        <v>-224.06860462595034</v>
      </c>
      <c r="AU144" s="348">
        <f t="shared" si="28"/>
        <v>906.01214741593935</v>
      </c>
      <c r="AV144" s="350"/>
      <c r="AW144" s="350">
        <f t="shared" si="29"/>
        <v>-38.056415181082045</v>
      </c>
      <c r="AX144" s="351">
        <f t="shared" si="30"/>
        <v>84.156415181082039</v>
      </c>
      <c r="AY144" s="351">
        <f t="shared" si="15"/>
        <v>-304.81063297224046</v>
      </c>
      <c r="AZ144" s="1043">
        <f t="shared" si="16"/>
        <v>118.82635421771093</v>
      </c>
      <c r="BA144" s="241">
        <f t="shared" si="31"/>
        <v>304.81063297224046</v>
      </c>
      <c r="BB144" s="242">
        <f t="shared" si="31"/>
        <v>118.82635421771093</v>
      </c>
      <c r="BC144">
        <f t="shared" si="32"/>
        <v>0</v>
      </c>
      <c r="BM144" s="197"/>
      <c r="BN144" s="197"/>
      <c r="BO144" s="197"/>
      <c r="CI144" s="217"/>
      <c r="CJ144" s="217"/>
      <c r="CK144" s="217"/>
      <c r="CL144" s="217"/>
      <c r="CM144" s="217"/>
      <c r="CN144" s="217"/>
    </row>
    <row r="145" spans="1:129" ht="21" customHeight="1" thickBot="1" x14ac:dyDescent="0.35">
      <c r="B145" s="244">
        <v>7</v>
      </c>
      <c r="C145" s="245"/>
      <c r="D145" s="16">
        <v>1</v>
      </c>
      <c r="E145" s="234" t="s">
        <v>215</v>
      </c>
      <c r="F145" s="235"/>
      <c r="G145" s="235">
        <f t="shared" si="37"/>
        <v>1</v>
      </c>
      <c r="H145" s="888">
        <v>251.073172</v>
      </c>
      <c r="I145" s="889">
        <v>65.636175100000003</v>
      </c>
      <c r="J145" s="374">
        <f t="shared" si="17"/>
        <v>64.636175100000003</v>
      </c>
      <c r="K145" s="374">
        <f t="shared" si="18"/>
        <v>32.318087550000001</v>
      </c>
      <c r="L145" s="374">
        <f t="shared" si="5"/>
        <v>0.53461916118589337</v>
      </c>
      <c r="M145" s="374">
        <f t="shared" si="6"/>
        <v>134.22852861092153</v>
      </c>
      <c r="N145" s="374">
        <f t="shared" si="7"/>
        <v>268.45705722184306</v>
      </c>
      <c r="O145" s="374">
        <f>+C139+D140+D141+D142+D143+D144+(D145/2)</f>
        <v>6.5</v>
      </c>
      <c r="P145" s="374">
        <f t="shared" si="8"/>
        <v>0.11320321376790661</v>
      </c>
      <c r="Q145" s="374">
        <f t="shared" si="9"/>
        <v>30.390201636187438</v>
      </c>
      <c r="R145" s="374">
        <f t="shared" si="19"/>
        <v>295.26309681072854</v>
      </c>
      <c r="S145" s="374">
        <f t="shared" si="33"/>
        <v>325.65329844691598</v>
      </c>
      <c r="T145" s="375">
        <f t="shared" si="10"/>
        <v>325.65329844691598</v>
      </c>
      <c r="V145" s="929">
        <f t="shared" si="11"/>
        <v>0</v>
      </c>
      <c r="W145" s="340"/>
      <c r="X145" s="340"/>
      <c r="Y145" s="340"/>
      <c r="Z145" s="340"/>
      <c r="AA145" s="340"/>
      <c r="AB145" s="257" t="str">
        <f t="shared" si="34"/>
        <v xml:space="preserve"> </v>
      </c>
      <c r="AC145" s="377" t="b">
        <f>IF(AD145=7,AF145)</f>
        <v>0</v>
      </c>
      <c r="AD145" s="377">
        <f t="shared" si="20"/>
        <v>1</v>
      </c>
      <c r="AE145" s="377">
        <f>IF(V145=0,0,7)</f>
        <v>0</v>
      </c>
      <c r="AF145" s="966">
        <f>SUM(V145:V164)/($B$136-B144)</f>
        <v>0</v>
      </c>
      <c r="AG145" s="971"/>
      <c r="AH145" s="353">
        <f>SUM(D140:D145)+$C$139</f>
        <v>7</v>
      </c>
      <c r="AI145" s="944" t="b">
        <f t="shared" si="21"/>
        <v>0</v>
      </c>
      <c r="AJ145" s="575">
        <f t="shared" si="22"/>
        <v>68.499008599999996</v>
      </c>
      <c r="AK145" s="944">
        <f t="shared" si="12"/>
        <v>0.93041122620083849</v>
      </c>
      <c r="AL145" s="944">
        <f t="shared" si="23"/>
        <v>270.41738720240846</v>
      </c>
      <c r="AM145" s="968">
        <f t="shared" si="24"/>
        <v>64.181912400000002</v>
      </c>
      <c r="AN145" s="944">
        <f t="shared" si="25"/>
        <v>0.90018132923109617</v>
      </c>
      <c r="AO145" s="969">
        <f t="shared" si="26"/>
        <v>226.01138170522765</v>
      </c>
      <c r="AP145" s="251">
        <f t="shared" si="13"/>
        <v>1871.2855549177673</v>
      </c>
      <c r="AQ145" s="347">
        <f t="shared" si="35"/>
        <v>-146.5</v>
      </c>
      <c r="AR145" s="347">
        <f t="shared" si="14"/>
        <v>16.799999999999997</v>
      </c>
      <c r="AS145" s="348">
        <f t="shared" si="27"/>
        <v>496.42876890763614</v>
      </c>
      <c r="AT145" s="348">
        <f t="shared" si="36"/>
        <v>-226.01138170522765</v>
      </c>
      <c r="AU145" s="348">
        <f t="shared" si="28"/>
        <v>2097.296936622995</v>
      </c>
      <c r="AV145" s="350"/>
      <c r="AW145" s="350">
        <f t="shared" si="29"/>
        <v>-54.176121333173455</v>
      </c>
      <c r="AX145" s="351">
        <f t="shared" si="30"/>
        <v>70.976121333173467</v>
      </c>
      <c r="AY145" s="351">
        <f t="shared" si="15"/>
        <v>-214.11647261829756</v>
      </c>
      <c r="AZ145" s="1043">
        <f t="shared" si="16"/>
        <v>140.89245526757333</v>
      </c>
      <c r="BA145" s="241">
        <f t="shared" si="31"/>
        <v>214.11647261829756</v>
      </c>
      <c r="BB145" s="242">
        <f t="shared" si="31"/>
        <v>140.89245526757333</v>
      </c>
      <c r="BC145">
        <f t="shared" si="32"/>
        <v>0</v>
      </c>
      <c r="BM145" s="197"/>
      <c r="BN145" s="197"/>
      <c r="BO145" s="197"/>
    </row>
    <row r="146" spans="1:129" ht="21" customHeight="1" thickBot="1" x14ac:dyDescent="0.35">
      <c r="B146" s="244">
        <v>8</v>
      </c>
      <c r="C146" s="245"/>
      <c r="D146" s="16">
        <v>1</v>
      </c>
      <c r="E146" s="234" t="s">
        <v>215</v>
      </c>
      <c r="F146" s="235"/>
      <c r="G146" s="235">
        <f t="shared" si="37"/>
        <v>1</v>
      </c>
      <c r="H146" s="888">
        <v>251.073172</v>
      </c>
      <c r="I146" s="889">
        <v>65.636175100000003</v>
      </c>
      <c r="J146" s="374">
        <f t="shared" si="17"/>
        <v>64.636175100000003</v>
      </c>
      <c r="K146" s="374">
        <f t="shared" si="18"/>
        <v>32.318087550000001</v>
      </c>
      <c r="L146" s="374">
        <f t="shared" si="5"/>
        <v>0.53461916118589337</v>
      </c>
      <c r="M146" s="374">
        <f t="shared" si="6"/>
        <v>134.22852861092153</v>
      </c>
      <c r="N146" s="374">
        <f t="shared" si="7"/>
        <v>268.45705722184306</v>
      </c>
      <c r="O146" s="374">
        <f>+C139+D140+D141+D142+D143+D144+D145+(D146/2)</f>
        <v>7.5</v>
      </c>
      <c r="P146" s="374">
        <f t="shared" si="8"/>
        <v>0.13052619222005146</v>
      </c>
      <c r="Q146" s="374">
        <f t="shared" si="9"/>
        <v>35.040677453767643</v>
      </c>
      <c r="R146" s="374">
        <f t="shared" si="19"/>
        <v>325.65329844691598</v>
      </c>
      <c r="S146" s="374">
        <f t="shared" si="33"/>
        <v>360.69397590068365</v>
      </c>
      <c r="T146" s="375">
        <f t="shared" si="10"/>
        <v>360.69397590068365</v>
      </c>
      <c r="V146" s="929">
        <f t="shared" si="11"/>
        <v>0</v>
      </c>
      <c r="W146" s="340"/>
      <c r="X146" s="340"/>
      <c r="Y146" s="340"/>
      <c r="Z146" s="340"/>
      <c r="AA146" s="340"/>
      <c r="AB146" s="257" t="str">
        <f t="shared" si="34"/>
        <v xml:space="preserve"> </v>
      </c>
      <c r="AC146" s="377" t="b">
        <f>IF(AD146=8,AF146)</f>
        <v>0</v>
      </c>
      <c r="AD146" s="377">
        <f t="shared" si="20"/>
        <v>1</v>
      </c>
      <c r="AE146" s="377">
        <f>IF(V146=0,0,8)</f>
        <v>0</v>
      </c>
      <c r="AF146" s="966">
        <f>SUM(V146:V164)/($B$136-B145)</f>
        <v>0</v>
      </c>
      <c r="AG146" s="971"/>
      <c r="AH146" s="353">
        <f>SUM(D140:D146)+$C$139</f>
        <v>8</v>
      </c>
      <c r="AI146" s="944" t="b">
        <f t="shared" si="21"/>
        <v>0</v>
      </c>
      <c r="AJ146" s="575">
        <f t="shared" si="22"/>
        <v>67.499008599999996</v>
      </c>
      <c r="AK146" s="944">
        <f t="shared" si="12"/>
        <v>0.92387291072723265</v>
      </c>
      <c r="AL146" s="944">
        <f t="shared" si="23"/>
        <v>268.5170724412709</v>
      </c>
      <c r="AM146" s="968">
        <f t="shared" si="24"/>
        <v>65.181912400000002</v>
      </c>
      <c r="AN146" s="944">
        <f t="shared" si="25"/>
        <v>0.9076450172391024</v>
      </c>
      <c r="AO146" s="969">
        <f t="shared" si="26"/>
        <v>227.88531352821613</v>
      </c>
      <c r="AP146" s="251">
        <f t="shared" si="13"/>
        <v>-2515.0077858094792</v>
      </c>
      <c r="AQ146" s="347">
        <f t="shared" si="35"/>
        <v>-175.8</v>
      </c>
      <c r="AR146" s="347">
        <f t="shared" si="14"/>
        <v>-12.5</v>
      </c>
      <c r="AS146" s="348">
        <f t="shared" si="27"/>
        <v>496.402385969487</v>
      </c>
      <c r="AT146" s="348">
        <f t="shared" si="36"/>
        <v>-227.88531352821613</v>
      </c>
      <c r="AU146" s="348">
        <f t="shared" si="28"/>
        <v>-2287.1224722812631</v>
      </c>
      <c r="AV146" s="350"/>
      <c r="AW146" s="350">
        <f t="shared" si="29"/>
        <v>-70.092452638358409</v>
      </c>
      <c r="AX146" s="351">
        <f t="shared" si="30"/>
        <v>57.592452638358402</v>
      </c>
      <c r="AY146" s="351">
        <f t="shared" si="15"/>
        <v>-165.49570693224462</v>
      </c>
      <c r="AZ146" s="1043">
        <f t="shared" si="16"/>
        <v>173.63386245752073</v>
      </c>
      <c r="BA146" s="241">
        <f t="shared" si="31"/>
        <v>165.49570693224462</v>
      </c>
      <c r="BB146" s="242">
        <f t="shared" si="31"/>
        <v>173.63386245752073</v>
      </c>
      <c r="BC146">
        <f t="shared" si="32"/>
        <v>0</v>
      </c>
      <c r="BM146" s="197"/>
      <c r="BN146" s="197"/>
      <c r="BO146" s="197"/>
    </row>
    <row r="147" spans="1:129" ht="21" customHeight="1" thickBot="1" x14ac:dyDescent="0.35">
      <c r="B147" s="244">
        <v>9</v>
      </c>
      <c r="C147" s="245"/>
      <c r="D147" s="16">
        <v>1</v>
      </c>
      <c r="E147" s="234" t="s">
        <v>215</v>
      </c>
      <c r="F147" s="235"/>
      <c r="G147" s="235">
        <f t="shared" si="37"/>
        <v>1</v>
      </c>
      <c r="H147" s="888">
        <v>251.073172</v>
      </c>
      <c r="I147" s="889">
        <v>65.636175100000003</v>
      </c>
      <c r="J147" s="374">
        <f t="shared" si="17"/>
        <v>64.636175100000003</v>
      </c>
      <c r="K147" s="374">
        <f t="shared" si="18"/>
        <v>32.318087550000001</v>
      </c>
      <c r="L147" s="374">
        <f t="shared" si="5"/>
        <v>0.53461916118589337</v>
      </c>
      <c r="M147" s="374">
        <f t="shared" si="6"/>
        <v>134.22852861092153</v>
      </c>
      <c r="N147" s="374">
        <f t="shared" si="7"/>
        <v>268.45705722184306</v>
      </c>
      <c r="O147" s="374">
        <f>+C139+D140+D141+D142+D143+D144+D145+D146+(D147/2)</f>
        <v>8.5</v>
      </c>
      <c r="P147" s="374">
        <f t="shared" si="8"/>
        <v>0.14780941112961046</v>
      </c>
      <c r="Q147" s="374">
        <f t="shared" si="9"/>
        <v>39.680479541548763</v>
      </c>
      <c r="R147" s="374">
        <f t="shared" si="19"/>
        <v>360.69397590068365</v>
      </c>
      <c r="S147" s="374">
        <f t="shared" si="33"/>
        <v>400.37445544223243</v>
      </c>
      <c r="T147" s="375">
        <f t="shared" si="10"/>
        <v>400.37445544223243</v>
      </c>
      <c r="V147" s="929">
        <f t="shared" si="11"/>
        <v>0</v>
      </c>
      <c r="W147" s="340"/>
      <c r="X147" s="340"/>
      <c r="Y147" s="340"/>
      <c r="Z147" s="340"/>
      <c r="AA147" s="340"/>
      <c r="AB147" s="257" t="str">
        <f t="shared" si="34"/>
        <v xml:space="preserve"> </v>
      </c>
      <c r="AC147" s="377" t="b">
        <f>IF(AD147=9,AF147)</f>
        <v>0</v>
      </c>
      <c r="AD147" s="377">
        <f t="shared" si="20"/>
        <v>1</v>
      </c>
      <c r="AE147" s="377">
        <f>IF(V147=0,0,9)</f>
        <v>0</v>
      </c>
      <c r="AF147" s="966">
        <f>SUM(V147:V164)/($B$136-B146)</f>
        <v>0</v>
      </c>
      <c r="AG147" s="971"/>
      <c r="AH147" s="353">
        <f>SUM(D140:D147)+$C$139</f>
        <v>9</v>
      </c>
      <c r="AI147" s="944" t="b">
        <f t="shared" si="21"/>
        <v>0</v>
      </c>
      <c r="AJ147" s="575">
        <f t="shared" si="22"/>
        <v>66.499008599999996</v>
      </c>
      <c r="AK147" s="944">
        <f t="shared" si="12"/>
        <v>0.91705317461526137</v>
      </c>
      <c r="AL147" s="944">
        <f t="shared" si="23"/>
        <v>266.53496477868435</v>
      </c>
      <c r="AM147" s="968">
        <f t="shared" si="24"/>
        <v>66.181912400000002</v>
      </c>
      <c r="AN147" s="944">
        <f t="shared" si="25"/>
        <v>0.91483222778230289</v>
      </c>
      <c r="AO147" s="969">
        <f t="shared" si="26"/>
        <v>229.68982927712932</v>
      </c>
      <c r="AP147" s="251">
        <f t="shared" si="13"/>
        <v>-752.09562972771528</v>
      </c>
      <c r="AQ147" s="347">
        <f t="shared" si="35"/>
        <v>-205.1</v>
      </c>
      <c r="AR147" s="347">
        <f t="shared" si="14"/>
        <v>-41.799999999999983</v>
      </c>
      <c r="AS147" s="348">
        <f t="shared" si="27"/>
        <v>496.22479405581367</v>
      </c>
      <c r="AT147" s="348">
        <f t="shared" si="36"/>
        <v>-229.68982927712932</v>
      </c>
      <c r="AU147" s="348">
        <f t="shared" si="28"/>
        <v>-522.40580045058596</v>
      </c>
      <c r="AV147" s="350"/>
      <c r="AW147" s="350">
        <f t="shared" si="29"/>
        <v>-85.805383689833064</v>
      </c>
      <c r="AX147" s="351">
        <f t="shared" si="30"/>
        <v>44.005383689833081</v>
      </c>
      <c r="AY147" s="351">
        <f t="shared" si="15"/>
        <v>-135.18965245737215</v>
      </c>
      <c r="AZ147" s="1043">
        <f t="shared" si="16"/>
        <v>227.24492235958803</v>
      </c>
      <c r="BA147" s="241">
        <f t="shared" si="31"/>
        <v>135.18965245737215</v>
      </c>
      <c r="BB147" s="242">
        <f t="shared" si="31"/>
        <v>227.24492235958803</v>
      </c>
      <c r="BC147">
        <f t="shared" si="32"/>
        <v>0</v>
      </c>
      <c r="BM147" s="197"/>
      <c r="BN147" s="197"/>
      <c r="BO147" s="197"/>
    </row>
    <row r="148" spans="1:129" ht="21" customHeight="1" thickBot="1" x14ac:dyDescent="0.35">
      <c r="B148" s="244">
        <v>10</v>
      </c>
      <c r="C148" s="245"/>
      <c r="D148" s="16">
        <v>1</v>
      </c>
      <c r="E148" s="234" t="s">
        <v>215</v>
      </c>
      <c r="F148" s="235"/>
      <c r="G148" s="235">
        <f t="shared" si="37"/>
        <v>1</v>
      </c>
      <c r="H148" s="888">
        <v>251.073172</v>
      </c>
      <c r="I148" s="889">
        <v>65.636175100000003</v>
      </c>
      <c r="J148" s="374">
        <f t="shared" si="17"/>
        <v>64.636175100000003</v>
      </c>
      <c r="K148" s="374">
        <f t="shared" si="18"/>
        <v>32.318087550000001</v>
      </c>
      <c r="L148" s="374">
        <f t="shared" si="5"/>
        <v>0.53461916118589337</v>
      </c>
      <c r="M148" s="374">
        <f t="shared" si="6"/>
        <v>134.22852861092153</v>
      </c>
      <c r="N148" s="374">
        <f t="shared" si="7"/>
        <v>268.45705722184306</v>
      </c>
      <c r="O148" s="374">
        <f>+C139+D140+D141+D142+D143+D144+D145+D146+D147+(D148/2)</f>
        <v>9.5</v>
      </c>
      <c r="P148" s="374">
        <f t="shared" si="8"/>
        <v>0.16504760586067749</v>
      </c>
      <c r="Q148" s="374">
        <f t="shared" si="9"/>
        <v>44.308194570868096</v>
      </c>
      <c r="R148" s="374">
        <f t="shared" si="19"/>
        <v>400.37445544223243</v>
      </c>
      <c r="S148" s="374">
        <f t="shared" si="33"/>
        <v>444.68265001310056</v>
      </c>
      <c r="T148" s="375">
        <f t="shared" si="10"/>
        <v>444.68265001310056</v>
      </c>
      <c r="V148" s="929">
        <f t="shared" si="11"/>
        <v>0</v>
      </c>
      <c r="W148" s="340"/>
      <c r="X148" s="340"/>
      <c r="Y148" s="340"/>
      <c r="Z148" s="340"/>
      <c r="AA148" s="340"/>
      <c r="AB148" s="257" t="str">
        <f t="shared" si="34"/>
        <v xml:space="preserve"> </v>
      </c>
      <c r="AC148" s="377" t="b">
        <f>IF(AD148=10,AF148)</f>
        <v>0</v>
      </c>
      <c r="AD148" s="377">
        <f t="shared" si="20"/>
        <v>1</v>
      </c>
      <c r="AE148" s="377">
        <f>IF(V148=0,0,10)</f>
        <v>0</v>
      </c>
      <c r="AF148" s="966">
        <f>SUM(V148:V164)/($B$136-B147)</f>
        <v>0</v>
      </c>
      <c r="AG148" s="971"/>
      <c r="AH148" s="353">
        <f>SUM(D140:D148)+$C$139</f>
        <v>10</v>
      </c>
      <c r="AI148" s="944" t="b">
        <f t="shared" si="21"/>
        <v>0</v>
      </c>
      <c r="AJ148" s="575">
        <f t="shared" si="22"/>
        <v>65.499008599999996</v>
      </c>
      <c r="AK148" s="944">
        <f t="shared" si="12"/>
        <v>0.90995409522260873</v>
      </c>
      <c r="AL148" s="944">
        <f t="shared" si="23"/>
        <v>264.4716679838441</v>
      </c>
      <c r="AM148" s="968">
        <f t="shared" si="24"/>
        <v>67.181912400000002</v>
      </c>
      <c r="AN148" s="944">
        <f t="shared" si="25"/>
        <v>0.92174077156674206</v>
      </c>
      <c r="AO148" s="969">
        <f t="shared" si="26"/>
        <v>231.42437927898933</v>
      </c>
      <c r="AP148" s="251">
        <f t="shared" si="13"/>
        <v>-442.1602998961813</v>
      </c>
      <c r="AQ148" s="347">
        <f t="shared" si="35"/>
        <v>-234.4</v>
      </c>
      <c r="AR148" s="347">
        <f t="shared" si="14"/>
        <v>-71.099999999999994</v>
      </c>
      <c r="AS148" s="348">
        <f t="shared" si="27"/>
        <v>495.89604726283346</v>
      </c>
      <c r="AT148" s="348">
        <f t="shared" si="36"/>
        <v>-231.42437927898933</v>
      </c>
      <c r="AU148" s="348">
        <f t="shared" si="28"/>
        <v>-210.73592061719197</v>
      </c>
      <c r="AV148" s="350"/>
      <c r="AW148" s="350">
        <f t="shared" si="29"/>
        <v>-101.3146468772737</v>
      </c>
      <c r="AX148" s="351">
        <f t="shared" si="30"/>
        <v>30.214646877273712</v>
      </c>
      <c r="AY148" s="351">
        <f t="shared" si="15"/>
        <v>-114.49479771717037</v>
      </c>
      <c r="AZ148" s="1043">
        <f t="shared" si="16"/>
        <v>330.96531098371412</v>
      </c>
      <c r="BA148" s="241">
        <f t="shared" si="31"/>
        <v>114.49479771717037</v>
      </c>
      <c r="BB148" s="242">
        <f t="shared" si="31"/>
        <v>330.96531098371412</v>
      </c>
      <c r="BC148">
        <f t="shared" si="32"/>
        <v>0</v>
      </c>
      <c r="BM148" s="197"/>
      <c r="BN148" s="197"/>
      <c r="BO148" s="197"/>
    </row>
    <row r="149" spans="1:129" ht="21" customHeight="1" thickBot="1" x14ac:dyDescent="0.35">
      <c r="A149" s="258"/>
      <c r="B149" s="244">
        <v>11</v>
      </c>
      <c r="C149" s="245"/>
      <c r="D149" s="16">
        <v>1</v>
      </c>
      <c r="E149" s="234" t="s">
        <v>215</v>
      </c>
      <c r="F149" s="235"/>
      <c r="G149" s="235">
        <f t="shared" si="37"/>
        <v>1</v>
      </c>
      <c r="H149" s="888">
        <v>251.073172</v>
      </c>
      <c r="I149" s="889">
        <v>65.636175100000003</v>
      </c>
      <c r="J149" s="374">
        <f t="shared" si="17"/>
        <v>64.636175100000003</v>
      </c>
      <c r="K149" s="374">
        <f t="shared" si="18"/>
        <v>32.318087550000001</v>
      </c>
      <c r="L149" s="374">
        <f t="shared" si="5"/>
        <v>0.53461916118589337</v>
      </c>
      <c r="M149" s="374">
        <f t="shared" si="6"/>
        <v>134.22852861092153</v>
      </c>
      <c r="N149" s="374">
        <f t="shared" si="7"/>
        <v>268.45705722184306</v>
      </c>
      <c r="O149" s="374">
        <f>+C139+D140+D141+D142+D143+D144+D145+D146+D147+D148+(D149/2)</f>
        <v>10.5</v>
      </c>
      <c r="P149" s="374">
        <f t="shared" si="8"/>
        <v>0.18223552549214728</v>
      </c>
      <c r="Q149" s="374">
        <f t="shared" si="9"/>
        <v>48.922412894898024</v>
      </c>
      <c r="R149" s="374">
        <f t="shared" si="19"/>
        <v>444.68265001310056</v>
      </c>
      <c r="S149" s="374">
        <f t="shared" si="33"/>
        <v>493.60506290799856</v>
      </c>
      <c r="T149" s="375">
        <f t="shared" si="10"/>
        <v>493.60506290799856</v>
      </c>
      <c r="V149" s="929">
        <f t="shared" si="11"/>
        <v>0</v>
      </c>
      <c r="W149" s="340"/>
      <c r="X149" s="340"/>
      <c r="Y149" s="340"/>
      <c r="Z149" s="340"/>
      <c r="AA149" s="340"/>
      <c r="AB149" s="257" t="str">
        <f t="shared" si="34"/>
        <v xml:space="preserve"> </v>
      </c>
      <c r="AC149" s="377" t="b">
        <f>IF(AD149=11,AF149)</f>
        <v>0</v>
      </c>
      <c r="AD149" s="377">
        <f t="shared" si="20"/>
        <v>1</v>
      </c>
      <c r="AE149" s="377">
        <f>IF(V149=0,0,11)</f>
        <v>0</v>
      </c>
      <c r="AF149" s="966">
        <f>SUM(V149:V164)/($B$136-B148)</f>
        <v>0</v>
      </c>
      <c r="AG149" s="971"/>
      <c r="AH149" s="353">
        <f>SUM(D140:D149)+$C$139</f>
        <v>11</v>
      </c>
      <c r="AI149" s="944" t="b">
        <f t="shared" si="21"/>
        <v>0</v>
      </c>
      <c r="AJ149" s="575">
        <f t="shared" si="22"/>
        <v>64.499008599999996</v>
      </c>
      <c r="AK149" s="944">
        <f t="shared" si="12"/>
        <v>0.902577834997628</v>
      </c>
      <c r="AL149" s="944">
        <f t="shared" si="23"/>
        <v>262.32781055694142</v>
      </c>
      <c r="AM149" s="968">
        <f t="shared" si="24"/>
        <v>68.181912400000002</v>
      </c>
      <c r="AN149" s="944">
        <f t="shared" si="25"/>
        <v>0.9283685441830587</v>
      </c>
      <c r="AO149" s="969">
        <f t="shared" si="26"/>
        <v>233.08843517306269</v>
      </c>
      <c r="AP149" s="251">
        <f t="shared" si="13"/>
        <v>-313.12347930894913</v>
      </c>
      <c r="AQ149" s="347">
        <f t="shared" si="35"/>
        <v>-263.7</v>
      </c>
      <c r="AR149" s="347">
        <f t="shared" si="14"/>
        <v>-100.39999999999998</v>
      </c>
      <c r="AS149" s="348">
        <f t="shared" si="27"/>
        <v>495.41624573000411</v>
      </c>
      <c r="AT149" s="348">
        <f t="shared" si="36"/>
        <v>-233.08843517306269</v>
      </c>
      <c r="AU149" s="348">
        <f t="shared" si="28"/>
        <v>-80.035044135886437</v>
      </c>
      <c r="AV149" s="350"/>
      <c r="AW149" s="350">
        <f t="shared" si="29"/>
        <v>-116.61973138850648</v>
      </c>
      <c r="AX149" s="351">
        <f t="shared" si="30"/>
        <v>16.219731388506499</v>
      </c>
      <c r="AY149" s="351">
        <f t="shared" si="15"/>
        <v>-99.468587878631013</v>
      </c>
      <c r="AZ149" s="1043">
        <f t="shared" si="16"/>
        <v>616.53302144609643</v>
      </c>
      <c r="BA149" s="241">
        <f t="shared" si="31"/>
        <v>99.468587878631013</v>
      </c>
      <c r="BB149" s="242">
        <f t="shared" si="31"/>
        <v>616.53302144609643</v>
      </c>
      <c r="BC149">
        <f t="shared" si="32"/>
        <v>0</v>
      </c>
      <c r="BM149" s="197"/>
      <c r="BN149" s="197"/>
      <c r="BO149" s="197"/>
    </row>
    <row r="150" spans="1:129" ht="21" customHeight="1" thickBot="1" x14ac:dyDescent="0.35">
      <c r="A150" s="258"/>
      <c r="B150" s="244">
        <v>12</v>
      </c>
      <c r="C150" s="245"/>
      <c r="D150" s="16">
        <v>1</v>
      </c>
      <c r="E150" s="234" t="s">
        <v>215</v>
      </c>
      <c r="F150" s="235"/>
      <c r="G150" s="235">
        <f t="shared" si="37"/>
        <v>1</v>
      </c>
      <c r="H150" s="888">
        <v>251.073172</v>
      </c>
      <c r="I150" s="889">
        <v>65.636175100000003</v>
      </c>
      <c r="J150" s="374">
        <f t="shared" si="17"/>
        <v>64.636175100000003</v>
      </c>
      <c r="K150" s="374">
        <f t="shared" si="18"/>
        <v>32.318087550000001</v>
      </c>
      <c r="L150" s="374">
        <f t="shared" si="5"/>
        <v>0.53461916118589337</v>
      </c>
      <c r="M150" s="374">
        <f t="shared" si="6"/>
        <v>134.22852861092153</v>
      </c>
      <c r="N150" s="374">
        <f t="shared" si="7"/>
        <v>268.45705722184306</v>
      </c>
      <c r="O150" s="374">
        <f>+C139+D140+D141+D142+D143+D144+D145+D146+D147+D148+D149+(D150/2)</f>
        <v>11.5</v>
      </c>
      <c r="P150" s="374">
        <f t="shared" si="8"/>
        <v>0.19936793441719697</v>
      </c>
      <c r="Q150" s="374">
        <f t="shared" si="9"/>
        <v>53.521728978038098</v>
      </c>
      <c r="R150" s="374">
        <f t="shared" si="19"/>
        <v>493.60506290799856</v>
      </c>
      <c r="S150" s="374">
        <f t="shared" si="33"/>
        <v>547.1267918860367</v>
      </c>
      <c r="T150" s="375">
        <f t="shared" si="10"/>
        <v>547.1267918860367</v>
      </c>
      <c r="V150" s="929">
        <f t="shared" si="11"/>
        <v>0</v>
      </c>
      <c r="W150" s="340"/>
      <c r="X150" s="340"/>
      <c r="Y150" s="340"/>
      <c r="Z150" s="340"/>
      <c r="AA150" s="340"/>
      <c r="AB150" s="257" t="str">
        <f t="shared" si="34"/>
        <v xml:space="preserve"> </v>
      </c>
      <c r="AC150" s="377" t="b">
        <f>IF(AD150=12,AF150)</f>
        <v>0</v>
      </c>
      <c r="AD150" s="377">
        <f t="shared" si="20"/>
        <v>1</v>
      </c>
      <c r="AE150" s="377">
        <f>IF(V150=0,0,12)</f>
        <v>0</v>
      </c>
      <c r="AF150" s="966">
        <f>SUM(V150:V164)/($B$136-B149)</f>
        <v>0</v>
      </c>
      <c r="AG150" s="971"/>
      <c r="AH150" s="353">
        <f>SUM(D140:D150)+$C$139</f>
        <v>12</v>
      </c>
      <c r="AI150" s="944" t="b">
        <f t="shared" si="21"/>
        <v>0</v>
      </c>
      <c r="AJ150" s="575">
        <f t="shared" si="22"/>
        <v>63.499008599999996</v>
      </c>
      <c r="AK150" s="944">
        <f t="shared" si="12"/>
        <v>0.89492664082063922</v>
      </c>
      <c r="AL150" s="944">
        <f t="shared" si="23"/>
        <v>260.1040455377165</v>
      </c>
      <c r="AM150" s="968">
        <f t="shared" si="24"/>
        <v>69.181912400000002</v>
      </c>
      <c r="AN150" s="944">
        <f t="shared" si="25"/>
        <v>0.93471352674750907</v>
      </c>
      <c r="AO150" s="969">
        <f t="shared" si="26"/>
        <v>234.68149007180395</v>
      </c>
      <c r="AP150" s="251">
        <f t="shared" si="13"/>
        <v>-242.38702638873161</v>
      </c>
      <c r="AQ150" s="347">
        <f t="shared" si="35"/>
        <v>-293</v>
      </c>
      <c r="AR150" s="347">
        <f t="shared" si="14"/>
        <v>-129.69999999999999</v>
      </c>
      <c r="AS150" s="348">
        <f t="shared" si="27"/>
        <v>494.78553560952048</v>
      </c>
      <c r="AT150" s="348">
        <f t="shared" si="36"/>
        <v>-234.68149007180395</v>
      </c>
      <c r="AU150" s="348">
        <f t="shared" si="28"/>
        <v>-7.7055363169276632</v>
      </c>
      <c r="AV150" s="350"/>
      <c r="AW150" s="350">
        <f t="shared" si="29"/>
        <v>-131.71988131903322</v>
      </c>
      <c r="AX150" s="351">
        <f t="shared" si="30"/>
        <v>2.0198813190332228</v>
      </c>
      <c r="AY150" s="351">
        <f t="shared" si="15"/>
        <v>-88.065673031576182</v>
      </c>
      <c r="AZ150" s="1043">
        <f t="shared" si="16"/>
        <v>4950.7859228017951</v>
      </c>
      <c r="BA150" s="241">
        <f t="shared" si="31"/>
        <v>88.065673031576182</v>
      </c>
      <c r="BB150" s="242">
        <f t="shared" si="31"/>
        <v>4950.7859228017951</v>
      </c>
      <c r="BC150">
        <f t="shared" si="32"/>
        <v>0</v>
      </c>
      <c r="BM150" s="197"/>
      <c r="BN150" s="197"/>
      <c r="BO150" s="197"/>
    </row>
    <row r="151" spans="1:129" ht="21" customHeight="1" thickBot="1" x14ac:dyDescent="0.35">
      <c r="B151" s="244">
        <v>13</v>
      </c>
      <c r="C151" s="245"/>
      <c r="D151" s="16">
        <v>1</v>
      </c>
      <c r="E151" s="234" t="s">
        <v>215</v>
      </c>
      <c r="F151" s="235"/>
      <c r="G151" s="235">
        <f t="shared" si="37"/>
        <v>1.3</v>
      </c>
      <c r="H151" s="888">
        <v>251.073172</v>
      </c>
      <c r="I151" s="889">
        <v>65.636175100000003</v>
      </c>
      <c r="J151" s="374">
        <f t="shared" si="17"/>
        <v>64.636175100000003</v>
      </c>
      <c r="K151" s="374">
        <f t="shared" si="18"/>
        <v>32.318087550000001</v>
      </c>
      <c r="L151" s="374">
        <f t="shared" si="5"/>
        <v>0.53461916118589337</v>
      </c>
      <c r="M151" s="374">
        <f t="shared" si="6"/>
        <v>134.22852861092153</v>
      </c>
      <c r="N151" s="374">
        <f t="shared" si="7"/>
        <v>268.45705722184306</v>
      </c>
      <c r="O151" s="374">
        <f>+C139+D140+D141+D142+D143+D144+D145+D146+D147+D148+D149+D150+(D151/2)</f>
        <v>12.5</v>
      </c>
      <c r="P151" s="374">
        <f t="shared" si="8"/>
        <v>0.21643961393810265</v>
      </c>
      <c r="Q151" s="374">
        <f t="shared" si="9"/>
        <v>58.104741824054848</v>
      </c>
      <c r="R151" s="374">
        <f t="shared" si="19"/>
        <v>547.1267918860367</v>
      </c>
      <c r="S151" s="374">
        <f t="shared" si="33"/>
        <v>605.23153371009153</v>
      </c>
      <c r="T151" s="375">
        <f t="shared" si="10"/>
        <v>605.23153371009153</v>
      </c>
      <c r="V151" s="929">
        <f t="shared" si="11"/>
        <v>0</v>
      </c>
      <c r="W151" s="340"/>
      <c r="X151" s="340"/>
      <c r="Y151" s="340"/>
      <c r="Z151" s="340"/>
      <c r="AA151" s="340"/>
      <c r="AB151" s="257" t="str">
        <f t="shared" si="34"/>
        <v>use the locking pin</v>
      </c>
      <c r="AC151" s="377" t="b">
        <f>IF(AD151=13,AF151)</f>
        <v>0</v>
      </c>
      <c r="AD151" s="377">
        <f t="shared" si="20"/>
        <v>1</v>
      </c>
      <c r="AE151" s="377">
        <f>IF(V151=0,0,13)</f>
        <v>0</v>
      </c>
      <c r="AF151" s="966">
        <f>SUM(V151:V164)/($B$136-B150)</f>
        <v>0</v>
      </c>
      <c r="AG151" s="971"/>
      <c r="AH151" s="353">
        <f>SUM(D140:D151)+$C$139</f>
        <v>13</v>
      </c>
      <c r="AI151" s="944" t="b">
        <f t="shared" si="21"/>
        <v>0</v>
      </c>
      <c r="AJ151" s="575">
        <f t="shared" si="22"/>
        <v>62.499008599999996</v>
      </c>
      <c r="AK151" s="944">
        <f t="shared" si="12"/>
        <v>0.88700284331950752</v>
      </c>
      <c r="AL151" s="944">
        <f t="shared" si="23"/>
        <v>257.8010503065363</v>
      </c>
      <c r="AM151" s="968">
        <f t="shared" si="24"/>
        <v>70.181912400000002</v>
      </c>
      <c r="AN151" s="944">
        <f t="shared" si="25"/>
        <v>0.94077378651693899</v>
      </c>
      <c r="AO151" s="969">
        <f t="shared" si="26"/>
        <v>236.20305871525869</v>
      </c>
      <c r="AP151" s="251">
        <f t="shared" si="13"/>
        <v>-197.72073787810371</v>
      </c>
      <c r="AQ151" s="347">
        <f t="shared" si="35"/>
        <v>-322.3</v>
      </c>
      <c r="AR151" s="347">
        <f t="shared" si="14"/>
        <v>-159</v>
      </c>
      <c r="AS151" s="348">
        <f t="shared" si="27"/>
        <v>494.00410902179499</v>
      </c>
      <c r="AT151" s="348">
        <f t="shared" si="36"/>
        <v>-236.20305871525869</v>
      </c>
      <c r="AU151" s="348">
        <f t="shared" si="28"/>
        <v>38.482320837154987</v>
      </c>
      <c r="AV151" s="350"/>
      <c r="AW151" s="350">
        <f t="shared" si="29"/>
        <v>-146.61409287622405</v>
      </c>
      <c r="AX151" s="351">
        <f t="shared" si="30"/>
        <v>-12.385907123775953</v>
      </c>
      <c r="AY151" s="351">
        <f t="shared" si="15"/>
        <v>-79.119269999460855</v>
      </c>
      <c r="AZ151" s="1043">
        <f t="shared" si="16"/>
        <v>-807.36920599089819</v>
      </c>
      <c r="BA151" s="241">
        <f t="shared" si="31"/>
        <v>79.119269999460855</v>
      </c>
      <c r="BB151" s="242">
        <f t="shared" si="31"/>
        <v>807.36920599089819</v>
      </c>
      <c r="BC151">
        <f t="shared" si="32"/>
        <v>0.3</v>
      </c>
      <c r="BM151" s="197"/>
      <c r="BN151" s="197"/>
      <c r="BO151" s="197"/>
      <c r="DE151" s="109"/>
    </row>
    <row r="152" spans="1:129" ht="21" customHeight="1" thickBot="1" x14ac:dyDescent="0.35">
      <c r="B152" s="244">
        <v>14</v>
      </c>
      <c r="C152" s="245"/>
      <c r="D152" s="16">
        <v>1</v>
      </c>
      <c r="E152" s="234" t="s">
        <v>215</v>
      </c>
      <c r="F152" s="235"/>
      <c r="G152" s="235">
        <f t="shared" si="37"/>
        <v>1.3</v>
      </c>
      <c r="H152" s="888">
        <v>251.073172</v>
      </c>
      <c r="I152" s="889">
        <v>65.636175100000003</v>
      </c>
      <c r="J152" s="374">
        <f t="shared" si="17"/>
        <v>64.636175100000003</v>
      </c>
      <c r="K152" s="374">
        <f t="shared" si="18"/>
        <v>32.318087550000001</v>
      </c>
      <c r="L152" s="374">
        <f t="shared" si="5"/>
        <v>0.53461916118589337</v>
      </c>
      <c r="M152" s="374">
        <f t="shared" si="6"/>
        <v>134.22852861092153</v>
      </c>
      <c r="N152" s="374">
        <f t="shared" si="7"/>
        <v>268.45705722184306</v>
      </c>
      <c r="O152" s="374">
        <f>+C139+D140+D141+D142+D143+D144+D145+D146+D147+D148+D149+D150+D151+(D152/2)</f>
        <v>13.5</v>
      </c>
      <c r="P152" s="374">
        <f t="shared" si="8"/>
        <v>0.23344536385590517</v>
      </c>
      <c r="Q152" s="374">
        <f t="shared" si="9"/>
        <v>62.670055402838706</v>
      </c>
      <c r="R152" s="374">
        <f t="shared" si="19"/>
        <v>605.23153371009153</v>
      </c>
      <c r="S152" s="374">
        <f t="shared" si="33"/>
        <v>667.9015891129302</v>
      </c>
      <c r="T152" s="375">
        <f t="shared" si="10"/>
        <v>667.9015891129302</v>
      </c>
      <c r="V152" s="929">
        <f t="shared" si="11"/>
        <v>0</v>
      </c>
      <c r="W152" s="340"/>
      <c r="X152" s="340"/>
      <c r="Y152" s="340"/>
      <c r="Z152" s="340"/>
      <c r="AA152" s="340"/>
      <c r="AB152" s="257" t="str">
        <f t="shared" si="34"/>
        <v>use the locking pin</v>
      </c>
      <c r="AC152" s="377" t="b">
        <f>IF(AD152=14,AF152)</f>
        <v>0</v>
      </c>
      <c r="AD152" s="377">
        <f t="shared" si="20"/>
        <v>1</v>
      </c>
      <c r="AE152" s="377">
        <f>IF(V152=0,0,14)</f>
        <v>0</v>
      </c>
      <c r="AF152" s="966">
        <f>SUM(V152:V164)/($B$136-B151)</f>
        <v>0</v>
      </c>
      <c r="AG152" s="971"/>
      <c r="AH152" s="353">
        <f>SUM(D140:D152)+$C$139</f>
        <v>14</v>
      </c>
      <c r="AI152" s="944" t="b">
        <f t="shared" si="21"/>
        <v>0</v>
      </c>
      <c r="AJ152" s="575">
        <f t="shared" si="22"/>
        <v>61.499008599999996</v>
      </c>
      <c r="AK152" s="944">
        <f t="shared" si="12"/>
        <v>0.87880885615971105</v>
      </c>
      <c r="AL152" s="944">
        <f t="shared" si="23"/>
        <v>255.4195263780579</v>
      </c>
      <c r="AM152" s="968">
        <f t="shared" si="24"/>
        <v>71.181912400000002</v>
      </c>
      <c r="AN152" s="944">
        <f t="shared" si="25"/>
        <v>0.94654747747751544</v>
      </c>
      <c r="AO152" s="969">
        <f t="shared" si="26"/>
        <v>237.65267761887836</v>
      </c>
      <c r="AP152" s="251">
        <f t="shared" si="13"/>
        <v>-166.95484504842531</v>
      </c>
      <c r="AQ152" s="347">
        <f t="shared" si="35"/>
        <v>-351.6</v>
      </c>
      <c r="AR152" s="347">
        <f t="shared" si="14"/>
        <v>-188.3</v>
      </c>
      <c r="AS152" s="348">
        <f t="shared" si="27"/>
        <v>493.07220399693625</v>
      </c>
      <c r="AT152" s="348">
        <f t="shared" si="36"/>
        <v>-237.65267761887836</v>
      </c>
      <c r="AU152" s="348">
        <f t="shared" si="28"/>
        <v>70.697832570453045</v>
      </c>
      <c r="AV152" s="350"/>
      <c r="AW152" s="350">
        <f t="shared" si="29"/>
        <v>-161.30111065863485</v>
      </c>
      <c r="AX152" s="351">
        <f t="shared" si="30"/>
        <v>-26.99888934136516</v>
      </c>
      <c r="AY152" s="351">
        <f t="shared" si="15"/>
        <v>-71.915189874602532</v>
      </c>
      <c r="AZ152" s="1043">
        <f t="shared" si="16"/>
        <v>-370.3856063693309</v>
      </c>
      <c r="BA152" s="241">
        <f t="shared" si="31"/>
        <v>71.915189874602532</v>
      </c>
      <c r="BB152" s="242">
        <f t="shared" si="31"/>
        <v>370.3856063693309</v>
      </c>
      <c r="BC152">
        <f t="shared" si="32"/>
        <v>0.3</v>
      </c>
      <c r="BM152" s="197"/>
      <c r="BN152" s="197"/>
      <c r="BO152" s="197"/>
      <c r="DE152" s="109"/>
    </row>
    <row r="153" spans="1:129" ht="21" customHeight="1" thickBot="1" x14ac:dyDescent="0.35">
      <c r="B153" s="244">
        <v>15</v>
      </c>
      <c r="C153" s="245"/>
      <c r="D153" s="16">
        <v>1</v>
      </c>
      <c r="E153" s="234" t="s">
        <v>215</v>
      </c>
      <c r="F153" s="235"/>
      <c r="G153" s="235">
        <f t="shared" si="37"/>
        <v>1.3</v>
      </c>
      <c r="H153" s="888">
        <v>251.073172</v>
      </c>
      <c r="I153" s="889">
        <v>65.636175100000003</v>
      </c>
      <c r="J153" s="374">
        <f t="shared" si="17"/>
        <v>64.636175100000003</v>
      </c>
      <c r="K153" s="374">
        <f t="shared" si="18"/>
        <v>32.318087550000001</v>
      </c>
      <c r="L153" s="374">
        <f t="shared" si="5"/>
        <v>0.53461916118589337</v>
      </c>
      <c r="M153" s="374">
        <f t="shared" si="6"/>
        <v>134.22852861092153</v>
      </c>
      <c r="N153" s="374">
        <f t="shared" si="7"/>
        <v>268.45705722184306</v>
      </c>
      <c r="O153" s="374">
        <f>+C139+D140+D141+D142+D143+D144+D145+D146+D147+D148+D149+D150+D151+D152+(D153/2)</f>
        <v>14.5</v>
      </c>
      <c r="P153" s="374">
        <f t="shared" si="8"/>
        <v>0.25038000405444116</v>
      </c>
      <c r="Q153" s="374">
        <f t="shared" si="9"/>
        <v>67.216279075648401</v>
      </c>
      <c r="R153" s="374">
        <f t="shared" si="19"/>
        <v>667.9015891129302</v>
      </c>
      <c r="S153" s="374">
        <f t="shared" si="33"/>
        <v>735.11786818857854</v>
      </c>
      <c r="T153" s="375">
        <f t="shared" si="10"/>
        <v>735.11786818857854</v>
      </c>
      <c r="V153" s="929">
        <f t="shared" si="11"/>
        <v>0</v>
      </c>
      <c r="W153" s="340"/>
      <c r="X153" s="340"/>
      <c r="Y153" s="340"/>
      <c r="Z153" s="340"/>
      <c r="AA153" s="340"/>
      <c r="AB153" s="257" t="str">
        <f t="shared" si="34"/>
        <v>use the locking pin</v>
      </c>
      <c r="AC153" s="377" t="b">
        <f>IF(AD153=15,AF153)</f>
        <v>0</v>
      </c>
      <c r="AD153" s="377">
        <f t="shared" si="20"/>
        <v>1</v>
      </c>
      <c r="AE153" s="377">
        <f>IF(V153=0,0,15)</f>
        <v>0</v>
      </c>
      <c r="AF153" s="966">
        <f>SUM(V153:V164)/($B$136-B152)</f>
        <v>0</v>
      </c>
      <c r="AG153" s="971"/>
      <c r="AH153" s="353">
        <f>SUM(D140:D153)+$C$139</f>
        <v>15</v>
      </c>
      <c r="AI153" s="944" t="b">
        <f t="shared" si="21"/>
        <v>0</v>
      </c>
      <c r="AJ153" s="575">
        <f t="shared" si="22"/>
        <v>60.499008599999996</v>
      </c>
      <c r="AK153" s="944">
        <f t="shared" si="12"/>
        <v>0.87034717530911587</v>
      </c>
      <c r="AL153" s="944">
        <f t="shared" si="23"/>
        <v>252.96019918754024</v>
      </c>
      <c r="AM153" s="968">
        <f t="shared" si="24"/>
        <v>72.181912400000002</v>
      </c>
      <c r="AN153" s="944">
        <f t="shared" si="25"/>
        <v>0.95203284090704099</v>
      </c>
      <c r="AO153" s="969">
        <f t="shared" si="26"/>
        <v>239.02990521470213</v>
      </c>
      <c r="AP153" s="251">
        <f t="shared" si="13"/>
        <v>-144.47425240173936</v>
      </c>
      <c r="AQ153" s="347">
        <f t="shared" si="35"/>
        <v>-380.90000000000003</v>
      </c>
      <c r="AR153" s="347">
        <f t="shared" si="14"/>
        <v>-217.60000000000002</v>
      </c>
      <c r="AS153" s="348">
        <f t="shared" si="27"/>
        <v>491.99010440224237</v>
      </c>
      <c r="AT153" s="348">
        <f t="shared" si="36"/>
        <v>-239.02990521470213</v>
      </c>
      <c r="AU153" s="348">
        <f t="shared" si="28"/>
        <v>94.555652812962762</v>
      </c>
      <c r="AV153" s="350"/>
      <c r="AW153" s="350">
        <f t="shared" si="29"/>
        <v>-175.77942298433163</v>
      </c>
      <c r="AX153" s="351">
        <f t="shared" si="30"/>
        <v>-41.82057701566837</v>
      </c>
      <c r="AY153" s="351">
        <f t="shared" si="15"/>
        <v>-65.991797009334732</v>
      </c>
      <c r="AZ153" s="1043">
        <f t="shared" si="16"/>
        <v>-239.11673902187985</v>
      </c>
      <c r="BA153" s="241">
        <f t="shared" si="31"/>
        <v>65.991797009334732</v>
      </c>
      <c r="BB153" s="242">
        <f t="shared" si="31"/>
        <v>239.11673902187985</v>
      </c>
      <c r="BC153">
        <f t="shared" si="32"/>
        <v>0.3</v>
      </c>
      <c r="BM153" s="197"/>
      <c r="BN153" s="197"/>
      <c r="BO153" s="197"/>
      <c r="DE153" s="109"/>
    </row>
    <row r="154" spans="1:129" ht="21" customHeight="1" thickBot="1" x14ac:dyDescent="0.35">
      <c r="B154" s="244">
        <v>16</v>
      </c>
      <c r="C154" s="245"/>
      <c r="D154" s="16">
        <v>1</v>
      </c>
      <c r="E154" s="234" t="s">
        <v>215</v>
      </c>
      <c r="F154" s="235"/>
      <c r="G154" s="235">
        <f t="shared" si="37"/>
        <v>1.3</v>
      </c>
      <c r="H154" s="888">
        <v>251.073172</v>
      </c>
      <c r="I154" s="889">
        <v>65.636175100000003</v>
      </c>
      <c r="J154" s="374">
        <f t="shared" si="17"/>
        <v>64.636175100000003</v>
      </c>
      <c r="K154" s="374">
        <f t="shared" si="18"/>
        <v>32.318087550000001</v>
      </c>
      <c r="L154" s="374">
        <f t="shared" si="5"/>
        <v>0.53461916118589337</v>
      </c>
      <c r="M154" s="374">
        <f t="shared" si="6"/>
        <v>134.22852861092153</v>
      </c>
      <c r="N154" s="374">
        <f t="shared" si="7"/>
        <v>268.45705722184306</v>
      </c>
      <c r="O154" s="374">
        <f>+C139+D140+D141+D142+D143+D144+D145+D146+D147+D148+D149+D150+D151+D152+D153+(D154/2)</f>
        <v>15.5</v>
      </c>
      <c r="P154" s="374">
        <f t="shared" si="8"/>
        <v>0.26723837607825657</v>
      </c>
      <c r="Q154" s="374">
        <f t="shared" si="9"/>
        <v>71.742028018712944</v>
      </c>
      <c r="R154" s="374">
        <f t="shared" si="19"/>
        <v>735.11786818857854</v>
      </c>
      <c r="S154" s="374">
        <f t="shared" si="33"/>
        <v>806.85989620729151</v>
      </c>
      <c r="T154" s="375">
        <f t="shared" si="10"/>
        <v>806.85989620729151</v>
      </c>
      <c r="V154" s="929">
        <f t="shared" si="11"/>
        <v>0</v>
      </c>
      <c r="W154" s="340"/>
      <c r="X154" s="340"/>
      <c r="Y154" s="340"/>
      <c r="Z154" s="340"/>
      <c r="AA154" s="340"/>
      <c r="AB154" s="257" t="str">
        <f t="shared" si="34"/>
        <v>use the locking pin</v>
      </c>
      <c r="AC154" s="377" t="b">
        <f>IF(AD154=16,AF154)</f>
        <v>0</v>
      </c>
      <c r="AD154" s="377">
        <f t="shared" si="20"/>
        <v>1</v>
      </c>
      <c r="AE154" s="377">
        <f>IF(V154=0,0,16)</f>
        <v>0</v>
      </c>
      <c r="AF154" s="966">
        <f>SUM(V154:V164)/($B$136-B153)</f>
        <v>0</v>
      </c>
      <c r="AG154" s="971"/>
      <c r="AH154" s="353">
        <f>SUM(D140:D154)+$C$139</f>
        <v>16</v>
      </c>
      <c r="AI154" s="944" t="b">
        <f t="shared" si="21"/>
        <v>0</v>
      </c>
      <c r="AJ154" s="575">
        <f t="shared" si="22"/>
        <v>59.499008599999996</v>
      </c>
      <c r="AK154" s="944">
        <f t="shared" si="12"/>
        <v>0.86162037827767901</v>
      </c>
      <c r="AL154" s="944">
        <f t="shared" si="23"/>
        <v>250.42381786986954</v>
      </c>
      <c r="AM154" s="968">
        <f t="shared" si="24"/>
        <v>73.181912400000002</v>
      </c>
      <c r="AN154" s="944">
        <f t="shared" si="25"/>
        <v>0.95722820591067703</v>
      </c>
      <c r="AO154" s="969">
        <f t="shared" si="26"/>
        <v>240.33432198586283</v>
      </c>
      <c r="AP154" s="251">
        <f t="shared" si="13"/>
        <v>-127.32927226657955</v>
      </c>
      <c r="AQ154" s="347">
        <f t="shared" si="35"/>
        <v>-410.2</v>
      </c>
      <c r="AR154" s="347">
        <f t="shared" si="14"/>
        <v>-246.89999999999998</v>
      </c>
      <c r="AS154" s="348">
        <f t="shared" si="27"/>
        <v>490.75813985573234</v>
      </c>
      <c r="AT154" s="348">
        <f t="shared" si="36"/>
        <v>-240.33432198586283</v>
      </c>
      <c r="AU154" s="348">
        <f t="shared" si="28"/>
        <v>113.00504971928328</v>
      </c>
      <c r="AV154" s="350"/>
      <c r="AW154" s="350">
        <f t="shared" si="29"/>
        <v>-190.04725623523419</v>
      </c>
      <c r="AX154" s="351">
        <f t="shared" si="30"/>
        <v>-56.852743764765776</v>
      </c>
      <c r="AY154" s="351">
        <f t="shared" si="15"/>
        <v>-61.037450525683489</v>
      </c>
      <c r="AZ154" s="1043">
        <f t="shared" si="16"/>
        <v>-175.89300599767103</v>
      </c>
      <c r="BA154" s="241">
        <f t="shared" si="31"/>
        <v>61.037450525683489</v>
      </c>
      <c r="BB154" s="242">
        <f t="shared" si="31"/>
        <v>175.89300599767103</v>
      </c>
      <c r="BC154">
        <f t="shared" si="32"/>
        <v>0.3</v>
      </c>
      <c r="BM154" s="197"/>
      <c r="BN154" s="197"/>
      <c r="BO154" s="197"/>
      <c r="DE154" s="109"/>
    </row>
    <row r="155" spans="1:129" ht="21" customHeight="1" thickBot="1" x14ac:dyDescent="0.35">
      <c r="B155" s="244">
        <v>17</v>
      </c>
      <c r="C155" s="245"/>
      <c r="D155" s="16">
        <v>1</v>
      </c>
      <c r="E155" s="234" t="s">
        <v>215</v>
      </c>
      <c r="F155" s="235"/>
      <c r="G155" s="235">
        <f t="shared" si="37"/>
        <v>1.3</v>
      </c>
      <c r="H155" s="888">
        <v>251.073172</v>
      </c>
      <c r="I155" s="889">
        <v>65.636175100000003</v>
      </c>
      <c r="J155" s="374">
        <f t="shared" si="17"/>
        <v>64.636175100000003</v>
      </c>
      <c r="K155" s="374">
        <f t="shared" si="18"/>
        <v>32.318087550000001</v>
      </c>
      <c r="L155" s="374">
        <f t="shared" si="5"/>
        <v>0.53461916118589337</v>
      </c>
      <c r="M155" s="374">
        <f t="shared" si="6"/>
        <v>134.22852861092153</v>
      </c>
      <c r="N155" s="374">
        <f t="shared" si="7"/>
        <v>268.45705722184306</v>
      </c>
      <c r="O155" s="374">
        <f>+C139+D140+D141+D142+D143+D144+D145+D146+D147+D148+D149+D150+D151+D152+D153+D154+(D155/2)</f>
        <v>16.5</v>
      </c>
      <c r="P155" s="374">
        <f t="shared" si="8"/>
        <v>0.28401534470392237</v>
      </c>
      <c r="Q155" s="374">
        <f t="shared" si="9"/>
        <v>76.245923645062362</v>
      </c>
      <c r="R155" s="374">
        <f t="shared" si="19"/>
        <v>806.85989620729151</v>
      </c>
      <c r="S155" s="374">
        <f t="shared" si="33"/>
        <v>883.10581985235387</v>
      </c>
      <c r="T155" s="375">
        <f t="shared" si="10"/>
        <v>883.10581985235387</v>
      </c>
      <c r="V155" s="929">
        <f t="shared" si="11"/>
        <v>0</v>
      </c>
      <c r="W155" s="340"/>
      <c r="X155" s="340"/>
      <c r="Y155" s="340"/>
      <c r="Z155" s="340"/>
      <c r="AA155" s="340"/>
      <c r="AB155" s="257" t="str">
        <f t="shared" si="34"/>
        <v>use the locking pin</v>
      </c>
      <c r="AC155" s="377" t="b">
        <f>IF(AD155=17,AF155)</f>
        <v>0</v>
      </c>
      <c r="AD155" s="377">
        <f t="shared" si="20"/>
        <v>1</v>
      </c>
      <c r="AE155" s="377">
        <f>IF(V155=0,0,17)</f>
        <v>0</v>
      </c>
      <c r="AF155" s="966">
        <f>SUM(V155:V164)/($B$136-B154)</f>
        <v>0</v>
      </c>
      <c r="AG155" s="971"/>
      <c r="AH155" s="353">
        <f>SUM(D140:D155)+$C$139</f>
        <v>17</v>
      </c>
      <c r="AI155" s="944" t="b">
        <f t="shared" si="21"/>
        <v>0</v>
      </c>
      <c r="AJ155" s="575">
        <f t="shared" si="22"/>
        <v>58.499008599999996</v>
      </c>
      <c r="AK155" s="944">
        <f t="shared" si="12"/>
        <v>0.85263112333231494</v>
      </c>
      <c r="AL155" s="944">
        <f t="shared" si="23"/>
        <v>247.81115503136576</v>
      </c>
      <c r="AM155" s="968">
        <f t="shared" si="24"/>
        <v>74.181912400000002</v>
      </c>
      <c r="AN155" s="944">
        <f t="shared" si="25"/>
        <v>0.96213198992991489</v>
      </c>
      <c r="AO155" s="969">
        <f t="shared" si="26"/>
        <v>241.56553059437579</v>
      </c>
      <c r="AP155" s="251">
        <f t="shared" si="13"/>
        <v>-113.82185851780771</v>
      </c>
      <c r="AQ155" s="347">
        <f t="shared" si="35"/>
        <v>-439.5</v>
      </c>
      <c r="AR155" s="347">
        <f t="shared" si="14"/>
        <v>-276.2</v>
      </c>
      <c r="AS155" s="348">
        <f t="shared" si="27"/>
        <v>489.37668562574152</v>
      </c>
      <c r="AT155" s="348">
        <f t="shared" si="36"/>
        <v>-241.56553059437579</v>
      </c>
      <c r="AU155" s="348">
        <f t="shared" si="28"/>
        <v>127.74367207656807</v>
      </c>
      <c r="AV155" s="350"/>
      <c r="AW155" s="350">
        <f t="shared" si="29"/>
        <v>-204.10256817724417</v>
      </c>
      <c r="AX155" s="351">
        <f t="shared" si="30"/>
        <v>-72.097431822755794</v>
      </c>
      <c r="AY155" s="351">
        <f t="shared" si="15"/>
        <v>-56.834169719640542</v>
      </c>
      <c r="AZ155" s="1043">
        <f t="shared" si="16"/>
        <v>-138.7011956900765</v>
      </c>
      <c r="BA155" s="241">
        <f t="shared" si="31"/>
        <v>56.834169719640542</v>
      </c>
      <c r="BB155" s="242">
        <f t="shared" si="31"/>
        <v>138.7011956900765</v>
      </c>
      <c r="BC155">
        <f t="shared" si="32"/>
        <v>0.3</v>
      </c>
      <c r="BD155" s="119"/>
      <c r="BM155" s="197"/>
      <c r="BN155" s="197"/>
      <c r="BO155" s="197"/>
      <c r="DF155" s="109"/>
      <c r="DG155" s="109"/>
      <c r="DH155" s="109"/>
      <c r="DI155" s="109"/>
      <c r="DJ155" s="109"/>
      <c r="DK155" s="109"/>
      <c r="DL155" s="186"/>
      <c r="DM155" s="186"/>
      <c r="DN155" s="186"/>
      <c r="DO155" s="186"/>
      <c r="DP155" s="186"/>
      <c r="DQ155" s="186"/>
      <c r="DR155" s="186"/>
      <c r="DS155" s="186"/>
      <c r="DT155" s="186"/>
      <c r="DU155" s="186"/>
      <c r="DV155" s="186"/>
      <c r="DW155" s="186"/>
      <c r="DX155" s="186"/>
      <c r="DY155" s="186"/>
    </row>
    <row r="156" spans="1:129" ht="21" customHeight="1" thickBot="1" x14ac:dyDescent="0.35">
      <c r="B156" s="244">
        <v>18</v>
      </c>
      <c r="C156" s="245"/>
      <c r="D156" s="16">
        <v>1</v>
      </c>
      <c r="E156" s="234" t="s">
        <v>215</v>
      </c>
      <c r="F156" s="235"/>
      <c r="G156" s="235">
        <f t="shared" si="37"/>
        <v>1.3</v>
      </c>
      <c r="H156" s="888">
        <v>251.073172</v>
      </c>
      <c r="I156" s="889">
        <v>65.636175100000003</v>
      </c>
      <c r="J156" s="374">
        <f t="shared" si="17"/>
        <v>64.636175100000003</v>
      </c>
      <c r="K156" s="374">
        <f t="shared" si="18"/>
        <v>32.318087550000001</v>
      </c>
      <c r="L156" s="374">
        <f t="shared" si="5"/>
        <v>0.53461916118589337</v>
      </c>
      <c r="M156" s="374">
        <f t="shared" si="6"/>
        <v>134.22852861092153</v>
      </c>
      <c r="N156" s="374">
        <f t="shared" si="7"/>
        <v>268.45705722184306</v>
      </c>
      <c r="O156" s="374">
        <f>+C139+D140+D141+D142+D143+D144+D145+D146+D147+D148+D149+D150+D151+D152+D153+D154+D155+(D156/2)</f>
        <v>17.5</v>
      </c>
      <c r="P156" s="374">
        <f t="shared" si="8"/>
        <v>0.30070579950427284</v>
      </c>
      <c r="Q156" s="374">
        <f t="shared" si="9"/>
        <v>80.726594024458635</v>
      </c>
      <c r="R156" s="374">
        <f t="shared" si="19"/>
        <v>883.10581985235387</v>
      </c>
      <c r="S156" s="374">
        <f t="shared" si="33"/>
        <v>963.83241387681255</v>
      </c>
      <c r="T156" s="375">
        <f t="shared" si="10"/>
        <v>963.83241387681255</v>
      </c>
      <c r="V156" s="929">
        <f t="shared" si="11"/>
        <v>0</v>
      </c>
      <c r="W156" s="340"/>
      <c r="X156" s="340"/>
      <c r="Y156" s="340"/>
      <c r="Z156" s="340"/>
      <c r="AA156" s="340"/>
      <c r="AB156" s="257" t="str">
        <f t="shared" si="34"/>
        <v>use the locking pin</v>
      </c>
      <c r="AC156" s="377" t="b">
        <f>IF(AD156=18,AF156)</f>
        <v>0</v>
      </c>
      <c r="AD156" s="377">
        <f t="shared" si="20"/>
        <v>1</v>
      </c>
      <c r="AE156" s="377">
        <f>IF(V156=0,0,18)</f>
        <v>0</v>
      </c>
      <c r="AF156" s="966">
        <f>SUM(V156:V164)/($B$136-B155)</f>
        <v>0</v>
      </c>
      <c r="AG156" s="971"/>
      <c r="AH156" s="353">
        <f>SUM(D140:D156)+$C$139</f>
        <v>18</v>
      </c>
      <c r="AI156" s="944" t="b">
        <f t="shared" si="21"/>
        <v>0</v>
      </c>
      <c r="AJ156" s="575">
        <f t="shared" si="22"/>
        <v>57.499008599999996</v>
      </c>
      <c r="AK156" s="944">
        <f t="shared" si="12"/>
        <v>0.84338214868716044</v>
      </c>
      <c r="AL156" s="944">
        <f t="shared" si="23"/>
        <v>245.12300651443877</v>
      </c>
      <c r="AM156" s="968">
        <f t="shared" si="24"/>
        <v>75.181912400000002</v>
      </c>
      <c r="AN156" s="944">
        <f t="shared" si="25"/>
        <v>0.96674269922463818</v>
      </c>
      <c r="AO156" s="969">
        <f t="shared" si="26"/>
        <v>242.72315600217186</v>
      </c>
      <c r="AP156" s="251">
        <f t="shared" si="13"/>
        <v>-102.90539221806378</v>
      </c>
      <c r="AQ156" s="347">
        <f t="shared" si="35"/>
        <v>-468.8</v>
      </c>
      <c r="AR156" s="347">
        <f t="shared" si="14"/>
        <v>-305.5</v>
      </c>
      <c r="AS156" s="348">
        <f t="shared" si="27"/>
        <v>487.84616251661066</v>
      </c>
      <c r="AT156" s="348">
        <f t="shared" si="36"/>
        <v>-242.72315600217186</v>
      </c>
      <c r="AU156" s="348">
        <f t="shared" si="28"/>
        <v>139.81776378410808</v>
      </c>
      <c r="AV156" s="350"/>
      <c r="AW156" s="350">
        <f t="shared" si="29"/>
        <v>-217.94304020821187</v>
      </c>
      <c r="AX156" s="351">
        <f t="shared" si="30"/>
        <v>-87.556959791788131</v>
      </c>
      <c r="AY156" s="351">
        <f t="shared" si="15"/>
        <v>-53.224915963904792</v>
      </c>
      <c r="AZ156" s="1043">
        <f t="shared" si="16"/>
        <v>-114.21136622125942</v>
      </c>
      <c r="BA156" s="241">
        <f t="shared" si="31"/>
        <v>53.224915963904792</v>
      </c>
      <c r="BB156" s="242">
        <f t="shared" si="31"/>
        <v>114.21136622125942</v>
      </c>
      <c r="BC156">
        <f t="shared" si="32"/>
        <v>0.3</v>
      </c>
      <c r="BD156" s="361"/>
      <c r="BM156" s="197"/>
      <c r="BN156" s="197"/>
      <c r="BO156" s="197"/>
      <c r="DF156" s="109"/>
      <c r="DG156" s="109"/>
      <c r="DH156" s="109"/>
      <c r="DI156" s="109"/>
      <c r="DJ156" s="109"/>
      <c r="DK156" s="109"/>
      <c r="DL156" s="186"/>
      <c r="DM156" s="186"/>
      <c r="DN156" s="186"/>
      <c r="DO156" s="186"/>
      <c r="DP156" s="186"/>
      <c r="DQ156" s="186"/>
      <c r="DR156" s="186"/>
      <c r="DS156" s="186"/>
      <c r="DT156" s="186"/>
      <c r="DU156" s="186"/>
      <c r="DV156" s="186"/>
      <c r="DW156" s="186"/>
      <c r="DX156" s="186"/>
      <c r="DY156" s="186"/>
    </row>
    <row r="157" spans="1:129" ht="21" customHeight="1" thickBot="1" x14ac:dyDescent="0.35">
      <c r="B157" s="244">
        <v>19</v>
      </c>
      <c r="C157" s="245"/>
      <c r="D157" s="16">
        <v>1</v>
      </c>
      <c r="E157" s="234" t="s">
        <v>215</v>
      </c>
      <c r="F157" s="235"/>
      <c r="G157" s="235">
        <f t="shared" si="37"/>
        <v>1.3</v>
      </c>
      <c r="H157" s="888">
        <v>251.073172</v>
      </c>
      <c r="I157" s="889">
        <v>65.636175100000003</v>
      </c>
      <c r="J157" s="374">
        <f t="shared" si="17"/>
        <v>64.636175100000003</v>
      </c>
      <c r="K157" s="374">
        <f t="shared" si="18"/>
        <v>32.318087550000001</v>
      </c>
      <c r="L157" s="374">
        <f t="shared" si="5"/>
        <v>0.53461916118589337</v>
      </c>
      <c r="M157" s="374">
        <f t="shared" si="6"/>
        <v>134.22852861092153</v>
      </c>
      <c r="N157" s="374">
        <f t="shared" si="7"/>
        <v>268.45705722184306</v>
      </c>
      <c r="O157" s="374">
        <f>+C139+D140+D141+D142+D143+D144+D145+D146+D147+D148+D149+D150+D151+D152+D153+D154+D155+D156+(D157/2)</f>
        <v>18.5</v>
      </c>
      <c r="P157" s="374">
        <f t="shared" si="8"/>
        <v>0.31730465640509181</v>
      </c>
      <c r="Q157" s="374">
        <f t="shared" si="9"/>
        <v>85.182674301298988</v>
      </c>
      <c r="R157" s="374">
        <f t="shared" si="19"/>
        <v>963.83241387681255</v>
      </c>
      <c r="S157" s="374">
        <f t="shared" si="33"/>
        <v>1049.0150881781115</v>
      </c>
      <c r="T157" s="375">
        <f t="shared" si="10"/>
        <v>1049.0150881781115</v>
      </c>
      <c r="V157" s="929">
        <f t="shared" si="11"/>
        <v>0</v>
      </c>
      <c r="W157" s="340"/>
      <c r="X157" s="340"/>
      <c r="Y157" s="340"/>
      <c r="Z157" s="340"/>
      <c r="AA157" s="340"/>
      <c r="AB157" s="235" t="str">
        <f t="shared" si="34"/>
        <v>use the locking pin</v>
      </c>
      <c r="AC157" s="377" t="b">
        <f>IF(AD157=19,AF157)</f>
        <v>0</v>
      </c>
      <c r="AD157" s="377">
        <f t="shared" si="20"/>
        <v>1</v>
      </c>
      <c r="AE157" s="377">
        <f>IF(V157=0,0,19)</f>
        <v>0</v>
      </c>
      <c r="AF157" s="966">
        <f>SUM(V157:V164)/($B$136-B156)</f>
        <v>0</v>
      </c>
      <c r="AG157" s="971"/>
      <c r="AH157" s="353">
        <f>SUM(D140:D157)+$C$139</f>
        <v>19</v>
      </c>
      <c r="AI157" s="944" t="b">
        <f t="shared" si="21"/>
        <v>0</v>
      </c>
      <c r="AJ157" s="575">
        <f t="shared" si="22"/>
        <v>56.499008599999996</v>
      </c>
      <c r="AK157" s="944">
        <f t="shared" si="12"/>
        <v>0.83387627166948974</v>
      </c>
      <c r="AL157" s="944">
        <f t="shared" si="23"/>
        <v>242.36019115516766</v>
      </c>
      <c r="AM157" s="968">
        <f t="shared" si="24"/>
        <v>76.181912400000002</v>
      </c>
      <c r="AN157" s="944">
        <f t="shared" si="25"/>
        <v>0.97105892932813076</v>
      </c>
      <c r="AO157" s="969">
        <f t="shared" si="26"/>
        <v>243.80684558533761</v>
      </c>
      <c r="AP157" s="251">
        <f t="shared" si="13"/>
        <v>-93.899633580103</v>
      </c>
      <c r="AQ157" s="347">
        <f t="shared" si="35"/>
        <v>-498.1</v>
      </c>
      <c r="AR157" s="347">
        <f t="shared" si="14"/>
        <v>-334.8</v>
      </c>
      <c r="AS157" s="348">
        <f t="shared" si="27"/>
        <v>486.1670367405053</v>
      </c>
      <c r="AT157" s="348">
        <f t="shared" si="36"/>
        <v>-243.80684558533761</v>
      </c>
      <c r="AU157" s="348">
        <f t="shared" si="28"/>
        <v>149.90721200523461</v>
      </c>
      <c r="AV157" s="350"/>
      <c r="AW157" s="350">
        <f t="shared" si="29"/>
        <v>-231.56606847752781</v>
      </c>
      <c r="AX157" s="351">
        <f t="shared" si="30"/>
        <v>-103.2339315224722</v>
      </c>
      <c r="AY157" s="351">
        <f t="shared" si="15"/>
        <v>-50.093694971228977</v>
      </c>
      <c r="AZ157" s="1043">
        <f t="shared" si="16"/>
        <v>-96.867375411573633</v>
      </c>
      <c r="BA157" s="241">
        <f t="shared" si="31"/>
        <v>50.093694971228977</v>
      </c>
      <c r="BB157" s="242">
        <f t="shared" si="31"/>
        <v>96.867375411573633</v>
      </c>
      <c r="BC157">
        <f t="shared" si="32"/>
        <v>0.3</v>
      </c>
      <c r="BD157" s="127"/>
      <c r="BM157" s="197"/>
      <c r="BN157" s="197"/>
      <c r="BO157" s="197"/>
      <c r="DF157" s="109"/>
      <c r="DG157" s="109"/>
      <c r="DH157" s="109"/>
      <c r="DI157" s="109"/>
      <c r="DJ157" s="109"/>
      <c r="DK157" s="109"/>
      <c r="DL157" s="186"/>
      <c r="DM157" s="186"/>
      <c r="DN157" s="186"/>
      <c r="DO157" s="186"/>
      <c r="DP157" s="186"/>
      <c r="DQ157" s="186"/>
      <c r="DR157" s="186"/>
      <c r="DS157" s="186"/>
      <c r="DT157" s="186"/>
      <c r="DU157" s="186"/>
      <c r="DV157" s="186"/>
      <c r="DW157" s="186"/>
      <c r="DX157" s="186"/>
      <c r="DY157" s="186"/>
    </row>
    <row r="158" spans="1:129" ht="21" customHeight="1" thickBot="1" x14ac:dyDescent="0.35">
      <c r="B158" s="244">
        <v>20</v>
      </c>
      <c r="C158" s="245"/>
      <c r="D158" s="16">
        <v>1</v>
      </c>
      <c r="E158" s="234" t="s">
        <v>215</v>
      </c>
      <c r="F158" s="235"/>
      <c r="G158" s="235">
        <f t="shared" si="37"/>
        <v>1.3</v>
      </c>
      <c r="H158" s="888">
        <v>251.073172</v>
      </c>
      <c r="I158" s="889">
        <v>65.636175100000003</v>
      </c>
      <c r="J158" s="374">
        <f t="shared" si="17"/>
        <v>64.636175100000003</v>
      </c>
      <c r="K158" s="374">
        <f t="shared" si="18"/>
        <v>32.318087550000001</v>
      </c>
      <c r="L158" s="374">
        <f t="shared" si="5"/>
        <v>0.53461916118589337</v>
      </c>
      <c r="M158" s="374">
        <f t="shared" si="6"/>
        <v>134.22852861092153</v>
      </c>
      <c r="N158" s="374">
        <f t="shared" si="7"/>
        <v>268.45705722184306</v>
      </c>
      <c r="O158" s="48">
        <f>+C139+D140+D141+D142+D143+D144+D145+D146+D147+D148+D149+D150+D151+D152+D153+D154+D155+D156+D157+(D158/2)</f>
        <v>19.5</v>
      </c>
      <c r="P158" s="374">
        <f t="shared" si="8"/>
        <v>0.33380685923377057</v>
      </c>
      <c r="Q158" s="374">
        <f t="shared" si="9"/>
        <v>89.612807110364059</v>
      </c>
      <c r="R158" s="374">
        <f t="shared" si="19"/>
        <v>1049.0150881781115</v>
      </c>
      <c r="S158" s="374">
        <f t="shared" si="33"/>
        <v>1138.6278952884754</v>
      </c>
      <c r="T158" s="375">
        <f t="shared" si="10"/>
        <v>1138.6278952884754</v>
      </c>
      <c r="V158" s="929">
        <f t="shared" si="11"/>
        <v>0</v>
      </c>
      <c r="W158" s="340"/>
      <c r="X158" s="340"/>
      <c r="Y158" s="340"/>
      <c r="Z158" s="340"/>
      <c r="AA158" s="340"/>
      <c r="AB158" s="248" t="str">
        <f t="shared" si="34"/>
        <v>use the locking pin</v>
      </c>
      <c r="AC158" s="377" t="b">
        <f>IF(AD158=20,AF158)</f>
        <v>0</v>
      </c>
      <c r="AD158" s="377">
        <f t="shared" si="20"/>
        <v>1</v>
      </c>
      <c r="AE158" s="377">
        <f>IF(V158=0,0,20)</f>
        <v>0</v>
      </c>
      <c r="AF158" s="966">
        <f>SUM(V158:V164)/($B$136-B157)</f>
        <v>0</v>
      </c>
      <c r="AG158" s="971"/>
      <c r="AH158" s="353">
        <f>SUM(D140:D158)+$C$139</f>
        <v>20</v>
      </c>
      <c r="AI158" s="944" t="b">
        <f t="shared" si="21"/>
        <v>0</v>
      </c>
      <c r="AJ158" s="575">
        <f t="shared" si="22"/>
        <v>55.499008599999996</v>
      </c>
      <c r="AK158" s="944">
        <f t="shared" si="12"/>
        <v>0.82411638786152763</v>
      </c>
      <c r="AL158" s="944">
        <f t="shared" si="23"/>
        <v>239.52355053387478</v>
      </c>
      <c r="AM158" s="968">
        <f t="shared" si="24"/>
        <v>77.181912400000002</v>
      </c>
      <c r="AN158" s="944">
        <f t="shared" si="25"/>
        <v>0.97507936547489105</v>
      </c>
      <c r="AO158" s="969">
        <f t="shared" si="26"/>
        <v>244.81626924152818</v>
      </c>
      <c r="AP158" s="251">
        <f t="shared" si="13"/>
        <v>-86.343304923423489</v>
      </c>
      <c r="AQ158" s="347">
        <f t="shared" si="35"/>
        <v>-527.4</v>
      </c>
      <c r="AR158" s="347">
        <f t="shared" si="14"/>
        <v>-364.09999999999997</v>
      </c>
      <c r="AS158" s="348">
        <f t="shared" si="27"/>
        <v>484.33981977540293</v>
      </c>
      <c r="AT158" s="348">
        <f t="shared" si="36"/>
        <v>-244.81626924152818</v>
      </c>
      <c r="AU158" s="348">
        <f t="shared" si="28"/>
        <v>158.47296431810469</v>
      </c>
      <c r="AV158" s="350"/>
      <c r="AW158" s="350">
        <f t="shared" si="29"/>
        <v>-244.96875381219235</v>
      </c>
      <c r="AX158" s="351">
        <f t="shared" si="30"/>
        <v>-119.13124618780765</v>
      </c>
      <c r="AY158" s="351">
        <f t="shared" si="15"/>
        <v>-47.352977959357425</v>
      </c>
      <c r="AZ158" s="1043">
        <f t="shared" si="16"/>
        <v>-83.941034111531337</v>
      </c>
      <c r="BA158" s="241">
        <f t="shared" si="31"/>
        <v>47.352977959357425</v>
      </c>
      <c r="BB158" s="242">
        <f t="shared" si="31"/>
        <v>83.941034111531337</v>
      </c>
      <c r="BC158">
        <f t="shared" si="32"/>
        <v>0.3</v>
      </c>
      <c r="BD158" s="127"/>
      <c r="BM158" s="197"/>
      <c r="BN158" s="197"/>
      <c r="BO158" s="197"/>
      <c r="DF158" s="109"/>
      <c r="DG158" s="109"/>
      <c r="DH158" s="109"/>
      <c r="DI158" s="109"/>
      <c r="DJ158" s="109"/>
      <c r="DK158" s="109"/>
      <c r="DL158" s="186"/>
      <c r="DM158" s="186"/>
      <c r="DN158" s="186"/>
      <c r="DO158" s="186"/>
      <c r="DP158" s="186"/>
      <c r="DQ158" s="186"/>
      <c r="DR158" s="186"/>
      <c r="DS158" s="186"/>
      <c r="DT158" s="186"/>
      <c r="DU158" s="186"/>
      <c r="DV158" s="186"/>
      <c r="DW158" s="186"/>
      <c r="DX158" s="186"/>
      <c r="DY158" s="186"/>
    </row>
    <row r="159" spans="1:129" ht="21" customHeight="1" thickBot="1" x14ac:dyDescent="0.35">
      <c r="B159" s="244">
        <v>21</v>
      </c>
      <c r="C159" s="890"/>
      <c r="D159" s="16">
        <v>1</v>
      </c>
      <c r="E159" s="234" t="s">
        <v>215</v>
      </c>
      <c r="F159" s="235"/>
      <c r="G159" s="235">
        <f t="shared" si="37"/>
        <v>1.3</v>
      </c>
      <c r="H159" s="888">
        <v>251.073172</v>
      </c>
      <c r="I159" s="889">
        <v>65.636175100000003</v>
      </c>
      <c r="J159" s="374">
        <f t="shared" si="17"/>
        <v>64.636175100000003</v>
      </c>
      <c r="K159" s="374">
        <f t="shared" si="18"/>
        <v>32.318087550000001</v>
      </c>
      <c r="L159" s="374">
        <f t="shared" si="5"/>
        <v>0.53461916118589337</v>
      </c>
      <c r="M159" s="374">
        <f t="shared" si="6"/>
        <v>134.22852861092153</v>
      </c>
      <c r="N159" s="374">
        <f t="shared" si="7"/>
        <v>268.45705722184306</v>
      </c>
      <c r="O159" s="983">
        <f>+C139+D140+D141+D142+D143+D144+D145+D146+D147+D148+D149+D150+D151+D152+D153+D154+D155+D156+D157+D158+(D159/2)</f>
        <v>20.5</v>
      </c>
      <c r="P159" s="374">
        <f t="shared" si="8"/>
        <v>0.35020738125946715</v>
      </c>
      <c r="Q159" s="374">
        <f t="shared" si="9"/>
        <v>94.015642990284576</v>
      </c>
      <c r="R159" s="374">
        <f t="shared" si="19"/>
        <v>1138.6278952884754</v>
      </c>
      <c r="S159" s="374">
        <f t="shared" si="33"/>
        <v>1232.6435382787599</v>
      </c>
      <c r="T159" s="375">
        <f t="shared" si="10"/>
        <v>1232.6435382787599</v>
      </c>
      <c r="V159" s="929">
        <f t="shared" si="11"/>
        <v>0</v>
      </c>
      <c r="AB159" s="248" t="str">
        <f t="shared" si="34"/>
        <v>use the locking pin</v>
      </c>
      <c r="AC159" s="48" t="b">
        <f>IF(AD159=21,AF159)</f>
        <v>0</v>
      </c>
      <c r="AD159" s="48">
        <f t="shared" si="20"/>
        <v>1</v>
      </c>
      <c r="AE159" s="48">
        <f>IF(V159=0,0,21)</f>
        <v>0</v>
      </c>
      <c r="AF159" s="966">
        <f>SUM(V159:V164)/($B$136-B158)</f>
        <v>0</v>
      </c>
      <c r="AG159" s="972"/>
      <c r="AH159" s="353">
        <f>SUM(D140:D159)+$C$139</f>
        <v>21</v>
      </c>
      <c r="AI159" s="944" t="b">
        <f t="shared" si="21"/>
        <v>0</v>
      </c>
      <c r="AJ159" s="575">
        <f t="shared" si="22"/>
        <v>54.499008599999996</v>
      </c>
      <c r="AK159" s="944">
        <f t="shared" si="12"/>
        <v>0.81410547021842816</v>
      </c>
      <c r="AL159" s="944">
        <f t="shared" si="23"/>
        <v>236.61394871877258</v>
      </c>
      <c r="AM159" s="968">
        <f t="shared" si="24"/>
        <v>78.181912400000002</v>
      </c>
      <c r="AN159" s="944">
        <f t="shared" si="25"/>
        <v>0.97880278300112167</v>
      </c>
      <c r="AO159" s="969">
        <f t="shared" si="26"/>
        <v>245.7511194905193</v>
      </c>
      <c r="AP159" s="251">
        <f t="shared" ref="AP159:AP164" si="38">+((AF159*AQ159)+($AG$177*$AQ$177)+($AQ$201*$AG$201))/AR159</f>
        <v>-79.912550387947334</v>
      </c>
      <c r="AQ159" s="347">
        <f t="shared" si="35"/>
        <v>-556.70000000000005</v>
      </c>
      <c r="AR159" s="347">
        <f t="shared" ref="AR159:AR164" si="39">+AQ159+$AQ$201+$AQ$177+31+31</f>
        <v>-393.40000000000009</v>
      </c>
      <c r="AS159" s="348">
        <f t="shared" si="27"/>
        <v>482.36506820929185</v>
      </c>
      <c r="AT159" s="48">
        <f t="shared" si="36"/>
        <v>-245.7511194905193</v>
      </c>
      <c r="AU159" s="348">
        <f t="shared" si="28"/>
        <v>165.83856910257197</v>
      </c>
      <c r="AV159" s="350"/>
      <c r="AW159" s="350">
        <f t="shared" si="29"/>
        <v>-258.14789037450652</v>
      </c>
      <c r="AX159" s="351">
        <f t="shared" si="30"/>
        <v>-135.25210962549357</v>
      </c>
      <c r="AY159" s="351">
        <f t="shared" si="15"/>
        <v>-44.935482459962657</v>
      </c>
      <c r="AZ159" s="1043">
        <f t="shared" si="16"/>
        <v>-73.936000168052885</v>
      </c>
      <c r="BA159" s="241">
        <f t="shared" si="31"/>
        <v>44.935482459962657</v>
      </c>
      <c r="BB159" s="242">
        <f t="shared" si="31"/>
        <v>73.936000168052885</v>
      </c>
      <c r="BC159">
        <f t="shared" si="32"/>
        <v>0.3</v>
      </c>
      <c r="BD159" s="127"/>
      <c r="BM159" s="197"/>
      <c r="BN159" s="197"/>
      <c r="BO159" s="197"/>
      <c r="DF159" s="109"/>
      <c r="DG159" s="109"/>
      <c r="DH159" s="109"/>
      <c r="DI159" s="109"/>
      <c r="DJ159" s="109"/>
      <c r="DK159" s="109"/>
      <c r="DL159" s="186"/>
      <c r="DM159" s="186"/>
      <c r="DN159" s="186"/>
      <c r="DO159" s="186"/>
      <c r="DP159" s="186"/>
      <c r="DQ159" s="186"/>
      <c r="DR159" s="186"/>
      <c r="DS159" s="186"/>
      <c r="DT159" s="186"/>
      <c r="DU159" s="186"/>
      <c r="DV159" s="186"/>
      <c r="DW159" s="186"/>
      <c r="DX159" s="186"/>
      <c r="DY159" s="186"/>
    </row>
    <row r="160" spans="1:129" ht="21" customHeight="1" thickBot="1" x14ac:dyDescent="0.35">
      <c r="B160" s="244">
        <v>22</v>
      </c>
      <c r="C160" s="890"/>
      <c r="D160" s="16">
        <v>1</v>
      </c>
      <c r="E160" s="234" t="s">
        <v>215</v>
      </c>
      <c r="F160" s="235"/>
      <c r="G160" s="235">
        <f t="shared" si="37"/>
        <v>1.3</v>
      </c>
      <c r="H160" s="888">
        <v>251.073172</v>
      </c>
      <c r="I160" s="889">
        <v>65.636175100000003</v>
      </c>
      <c r="J160" s="374">
        <f t="shared" si="17"/>
        <v>64.636175100000003</v>
      </c>
      <c r="K160" s="374">
        <f t="shared" si="18"/>
        <v>32.318087550000001</v>
      </c>
      <c r="L160" s="374">
        <f t="shared" si="5"/>
        <v>0.53461916118589337</v>
      </c>
      <c r="M160" s="374">
        <f t="shared" si="6"/>
        <v>134.22852861092153</v>
      </c>
      <c r="N160" s="374">
        <f t="shared" si="7"/>
        <v>268.45705722184306</v>
      </c>
      <c r="O160" s="983">
        <f>+C139+D140+D141+D142+D143+D144+D145+D146+D147+D148+D149+D150+D151+D152+D153+D154+D155+D156+D157+D158+D159+(D160/2)</f>
        <v>21.5</v>
      </c>
      <c r="P160" s="374">
        <f t="shared" si="8"/>
        <v>0.36650122672429686</v>
      </c>
      <c r="Q160" s="374">
        <f t="shared" si="9"/>
        <v>98.389840794600232</v>
      </c>
      <c r="R160" s="374">
        <f t="shared" si="19"/>
        <v>1232.6435382787599</v>
      </c>
      <c r="S160" s="374">
        <f t="shared" si="33"/>
        <v>1331.0333790733603</v>
      </c>
      <c r="T160" s="375">
        <f t="shared" si="10"/>
        <v>1331.0333790733603</v>
      </c>
      <c r="V160" s="929">
        <f t="shared" si="11"/>
        <v>0</v>
      </c>
      <c r="AB160" s="248" t="str">
        <f t="shared" si="34"/>
        <v>use the locking pin</v>
      </c>
      <c r="AC160" s="48" t="b">
        <f>IF(AD160=22,AF160)</f>
        <v>0</v>
      </c>
      <c r="AD160" s="48">
        <f t="shared" si="20"/>
        <v>1</v>
      </c>
      <c r="AE160" s="48">
        <f>IF(V160=0,0,22)</f>
        <v>0</v>
      </c>
      <c r="AF160" s="966">
        <f>SUM(V160:V164)/($B$136-B159)</f>
        <v>0</v>
      </c>
      <c r="AG160" s="972"/>
      <c r="AH160" s="353">
        <f>SUM(D140:D160)+$C$139</f>
        <v>22</v>
      </c>
      <c r="AI160" s="944" t="b">
        <f t="shared" si="21"/>
        <v>0</v>
      </c>
      <c r="AJ160" s="575">
        <f t="shared" si="22"/>
        <v>53.499008599999996</v>
      </c>
      <c r="AK160" s="944">
        <f t="shared" si="12"/>
        <v>0.80384656816268329</v>
      </c>
      <c r="AL160" s="944">
        <f t="shared" si="23"/>
        <v>233.63227200275978</v>
      </c>
      <c r="AM160" s="968">
        <f t="shared" si="24"/>
        <v>79.181912400000002</v>
      </c>
      <c r="AN160" s="944">
        <f t="shared" si="25"/>
        <v>0.98222804771777472</v>
      </c>
      <c r="AO160" s="969">
        <f t="shared" si="26"/>
        <v>246.61111156786907</v>
      </c>
      <c r="AP160" s="251">
        <f t="shared" si="38"/>
        <v>-74.373308073381793</v>
      </c>
      <c r="AQ160" s="347">
        <f t="shared" si="35"/>
        <v>-586</v>
      </c>
      <c r="AR160" s="347">
        <f t="shared" si="39"/>
        <v>-422.70000000000005</v>
      </c>
      <c r="AS160" s="348">
        <f t="shared" si="27"/>
        <v>480.24338357062885</v>
      </c>
      <c r="AT160" s="48">
        <f t="shared" si="36"/>
        <v>-246.61111156786907</v>
      </c>
      <c r="AU160" s="348">
        <f t="shared" si="28"/>
        <v>172.23780349448728</v>
      </c>
      <c r="AV160" s="350"/>
      <c r="AW160" s="350">
        <f t="shared" si="29"/>
        <v>-271.09995296590603</v>
      </c>
      <c r="AX160" s="351">
        <f t="shared" si="30"/>
        <v>-151.60004703409399</v>
      </c>
      <c r="AY160" s="351">
        <f t="shared" si="15"/>
        <v>-42.788646302195538</v>
      </c>
      <c r="AZ160" s="1043">
        <f t="shared" si="16"/>
        <v>-65.963040220898193</v>
      </c>
      <c r="BA160" s="241">
        <f t="shared" ref="BA160:BB164" si="40">ABS(AY160)</f>
        <v>42.788646302195538</v>
      </c>
      <c r="BB160" s="242">
        <f t="shared" si="40"/>
        <v>65.963040220898193</v>
      </c>
      <c r="BC160">
        <f t="shared" si="32"/>
        <v>0.3</v>
      </c>
      <c r="BD160" s="127"/>
      <c r="BM160" s="197"/>
      <c r="BN160" s="197"/>
      <c r="BO160" s="197"/>
      <c r="DF160" s="109"/>
      <c r="DG160" s="109"/>
      <c r="DH160" s="109"/>
      <c r="DI160" s="109"/>
      <c r="DJ160" s="109"/>
      <c r="DK160" s="109"/>
      <c r="DL160" s="186"/>
      <c r="DM160" s="186"/>
      <c r="DN160" s="186"/>
      <c r="DO160" s="186"/>
      <c r="DP160" s="186"/>
      <c r="DQ160" s="186"/>
      <c r="DR160" s="186"/>
      <c r="DS160" s="186"/>
      <c r="DT160" s="186"/>
      <c r="DU160" s="186"/>
      <c r="DV160" s="186"/>
      <c r="DW160" s="186"/>
      <c r="DX160" s="186"/>
      <c r="DY160" s="186"/>
    </row>
    <row r="161" spans="2:142" ht="21" customHeight="1" thickBot="1" x14ac:dyDescent="0.35">
      <c r="B161" s="244">
        <v>23</v>
      </c>
      <c r="C161" s="890"/>
      <c r="D161" s="16">
        <v>1</v>
      </c>
      <c r="E161" s="234" t="s">
        <v>215</v>
      </c>
      <c r="F161" s="235"/>
      <c r="G161" s="235">
        <f t="shared" si="37"/>
        <v>1.3</v>
      </c>
      <c r="H161" s="888">
        <v>251.073172</v>
      </c>
      <c r="I161" s="889">
        <v>65.636175100000003</v>
      </c>
      <c r="J161" s="374">
        <f t="shared" si="17"/>
        <v>64.636175100000003</v>
      </c>
      <c r="K161" s="374">
        <f t="shared" si="18"/>
        <v>32.318087550000001</v>
      </c>
      <c r="L161" s="374">
        <f t="shared" si="5"/>
        <v>0.53461916118589337</v>
      </c>
      <c r="M161" s="374">
        <f t="shared" si="6"/>
        <v>134.22852861092153</v>
      </c>
      <c r="N161" s="374">
        <f t="shared" si="7"/>
        <v>268.45705722184306</v>
      </c>
      <c r="O161" s="983">
        <f>+C139+D140+D141+D142+D143+D144+D145+D146+D147+D148+D149+D150+D151+D152+D153+D154+D155+D156+D157+D158+D159+D160+(D161/2)</f>
        <v>22.5</v>
      </c>
      <c r="P161" s="374">
        <f t="shared" si="8"/>
        <v>0.38268343236508939</v>
      </c>
      <c r="Q161" s="374">
        <f t="shared" si="9"/>
        <v>102.73406810028611</v>
      </c>
      <c r="R161" s="374">
        <f t="shared" si="19"/>
        <v>1331.0333790733603</v>
      </c>
      <c r="S161" s="374">
        <f t="shared" si="33"/>
        <v>1433.7674471736464</v>
      </c>
      <c r="T161" s="375">
        <f t="shared" si="10"/>
        <v>1433.7674471736464</v>
      </c>
      <c r="V161" s="929">
        <f t="shared" si="11"/>
        <v>0</v>
      </c>
      <c r="AB161" s="248" t="str">
        <f t="shared" si="34"/>
        <v>use the locking pin</v>
      </c>
      <c r="AC161" s="48" t="b">
        <f>IF(AD161=23,AF161)</f>
        <v>0</v>
      </c>
      <c r="AD161" s="48">
        <f t="shared" si="20"/>
        <v>1</v>
      </c>
      <c r="AE161" s="48">
        <f>IF(V161=0,0,23)</f>
        <v>0</v>
      </c>
      <c r="AF161" s="966">
        <f>SUM(V161:V164)/($B$136-B160)</f>
        <v>0</v>
      </c>
      <c r="AG161" s="972"/>
      <c r="AH161" s="353">
        <f>SUM(D140:D161)+$C$139</f>
        <v>23</v>
      </c>
      <c r="AI161" s="944" t="b">
        <f t="shared" si="21"/>
        <v>0</v>
      </c>
      <c r="AJ161" s="575">
        <f t="shared" si="22"/>
        <v>52.499008599999996</v>
      </c>
      <c r="AK161" s="944">
        <f t="shared" si="12"/>
        <v>0.79334280665523971</v>
      </c>
      <c r="AL161" s="944">
        <f t="shared" si="23"/>
        <v>230.57942863344837</v>
      </c>
      <c r="AM161" s="968">
        <f t="shared" si="24"/>
        <v>80.181912400000002</v>
      </c>
      <c r="AN161" s="944">
        <f t="shared" si="25"/>
        <v>0.98535411625603619</v>
      </c>
      <c r="AO161" s="969">
        <f t="shared" si="26"/>
        <v>247.39598351165978</v>
      </c>
      <c r="AP161" s="251">
        <f t="shared" si="38"/>
        <v>-69.552206465970087</v>
      </c>
      <c r="AQ161" s="347">
        <f t="shared" si="35"/>
        <v>-615.30000000000007</v>
      </c>
      <c r="AR161" s="347">
        <f t="shared" si="39"/>
        <v>-452.00000000000011</v>
      </c>
      <c r="AS161" s="348">
        <f t="shared" si="27"/>
        <v>477.97541214510818</v>
      </c>
      <c r="AT161" s="48">
        <f t="shared" si="36"/>
        <v>-247.39598351165978</v>
      </c>
      <c r="AU161" s="348">
        <f t="shared" si="28"/>
        <v>177.84377704568971</v>
      </c>
      <c r="AV161" s="350"/>
      <c r="AW161" s="350">
        <f t="shared" si="29"/>
        <v>-283.82108287978718</v>
      </c>
      <c r="AX161" s="351">
        <f t="shared" si="30"/>
        <v>-168.17891712021293</v>
      </c>
      <c r="AY161" s="351">
        <f t="shared" si="15"/>
        <v>-40.870818623834211</v>
      </c>
      <c r="AZ161" s="1043">
        <f t="shared" si="16"/>
        <v>-59.460485126397153</v>
      </c>
      <c r="BA161" s="241">
        <f t="shared" si="40"/>
        <v>40.870818623834211</v>
      </c>
      <c r="BB161" s="242">
        <f t="shared" si="40"/>
        <v>59.460485126397153</v>
      </c>
      <c r="BC161">
        <f t="shared" si="32"/>
        <v>0.3</v>
      </c>
      <c r="BD161" s="127"/>
      <c r="BM161" s="197"/>
      <c r="BN161" s="197"/>
      <c r="BO161" s="197"/>
      <c r="DF161" s="109"/>
      <c r="DG161" s="109"/>
      <c r="DH161" s="109"/>
      <c r="DI161" s="109"/>
      <c r="DJ161" s="109"/>
      <c r="DK161" s="109"/>
      <c r="DL161" s="186"/>
      <c r="DM161" s="186"/>
      <c r="DN161" s="186"/>
      <c r="DO161" s="186"/>
      <c r="DP161" s="186"/>
      <c r="DQ161" s="186"/>
      <c r="DR161" s="186"/>
      <c r="DS161" s="186"/>
      <c r="DT161" s="186"/>
      <c r="DU161" s="186"/>
      <c r="DV161" s="186"/>
      <c r="DW161" s="186"/>
      <c r="DX161" s="186"/>
      <c r="DY161" s="186"/>
    </row>
    <row r="162" spans="2:142" ht="21" customHeight="1" thickBot="1" x14ac:dyDescent="0.35">
      <c r="B162" s="244">
        <v>24</v>
      </c>
      <c r="C162" s="891"/>
      <c r="D162" s="16">
        <v>1</v>
      </c>
      <c r="E162" s="234" t="s">
        <v>215</v>
      </c>
      <c r="F162" s="235"/>
      <c r="G162" s="235">
        <f t="shared" si="37"/>
        <v>1.3</v>
      </c>
      <c r="H162" s="888">
        <v>251.073172</v>
      </c>
      <c r="I162" s="889">
        <v>65.636175100000003</v>
      </c>
      <c r="J162" s="374">
        <f t="shared" si="17"/>
        <v>64.636175100000003</v>
      </c>
      <c r="K162" s="374">
        <f t="shared" si="18"/>
        <v>32.318087550000001</v>
      </c>
      <c r="L162" s="374">
        <f t="shared" si="5"/>
        <v>0.53461916118589337</v>
      </c>
      <c r="M162" s="374">
        <f t="shared" si="6"/>
        <v>134.22852861092153</v>
      </c>
      <c r="N162" s="374">
        <f t="shared" si="7"/>
        <v>268.45705722184306</v>
      </c>
      <c r="O162" s="983">
        <f>+C139+D140+D141+D142+D143+D144+D145+D146+D147+D148+D149+D150+D151+D152+D153+D154+D155+D156+D157+D158+D159+D160+D161+(D162/2)</f>
        <v>23.5</v>
      </c>
      <c r="P162" s="374">
        <f t="shared" si="8"/>
        <v>0.39874906892524581</v>
      </c>
      <c r="Q162" s="374">
        <f t="shared" si="9"/>
        <v>107.04700161362136</v>
      </c>
      <c r="R162" s="374">
        <f t="shared" si="19"/>
        <v>1433.7674471736464</v>
      </c>
      <c r="S162" s="374">
        <f t="shared" si="33"/>
        <v>1540.8144487872678</v>
      </c>
      <c r="T162" s="375">
        <f t="shared" si="10"/>
        <v>1540.8144487872678</v>
      </c>
      <c r="V162" s="929">
        <f t="shared" si="11"/>
        <v>0</v>
      </c>
      <c r="AB162" s="248" t="str">
        <f t="shared" si="34"/>
        <v>use the locking pin</v>
      </c>
      <c r="AC162" s="48" t="b">
        <f>IF(AD162=24,AF162)</f>
        <v>0</v>
      </c>
      <c r="AD162" s="48">
        <f t="shared" si="20"/>
        <v>1</v>
      </c>
      <c r="AE162" s="48">
        <f>IF(V162=0,0,24)</f>
        <v>0</v>
      </c>
      <c r="AF162" s="966">
        <f>SUM(V162:V164)/($B$136-B161)</f>
        <v>0</v>
      </c>
      <c r="AG162" s="972"/>
      <c r="AH162" s="353">
        <f>SUM(D140:D162)+$C$139</f>
        <v>24</v>
      </c>
      <c r="AI162" s="944" t="b">
        <f t="shared" si="21"/>
        <v>0</v>
      </c>
      <c r="AJ162" s="575">
        <f t="shared" si="22"/>
        <v>51.499008599999996</v>
      </c>
      <c r="AK162" s="944">
        <f t="shared" si="12"/>
        <v>0.78259738524360445</v>
      </c>
      <c r="AL162" s="944">
        <f t="shared" si="23"/>
        <v>227.45634853650211</v>
      </c>
      <c r="AM162" s="968">
        <f t="shared" si="24"/>
        <v>81.181912400000002</v>
      </c>
      <c r="AN162" s="944">
        <f t="shared" si="25"/>
        <v>0.9881800363851464</v>
      </c>
      <c r="AO162" s="969">
        <f t="shared" si="26"/>
        <v>248.10549624229412</v>
      </c>
      <c r="AP162" s="251">
        <f t="shared" si="38"/>
        <v>-65.318091258297287</v>
      </c>
      <c r="AQ162" s="347">
        <f t="shared" si="35"/>
        <v>-644.6</v>
      </c>
      <c r="AR162" s="347">
        <f t="shared" si="39"/>
        <v>-481.30000000000007</v>
      </c>
      <c r="AS162" s="348">
        <f t="shared" si="27"/>
        <v>475.56184477879623</v>
      </c>
      <c r="AT162" s="48">
        <f t="shared" si="36"/>
        <v>-248.10549624229412</v>
      </c>
      <c r="AU162" s="348">
        <f t="shared" si="28"/>
        <v>182.78740498399685</v>
      </c>
      <c r="AV162" s="350"/>
      <c r="AW162" s="350">
        <f t="shared" si="29"/>
        <v>-296.3070721932732</v>
      </c>
      <c r="AX162" s="351">
        <f t="shared" si="30"/>
        <v>-184.99292780672687</v>
      </c>
      <c r="AY162" s="351">
        <f t="shared" si="15"/>
        <v>-39.148576219043562</v>
      </c>
      <c r="AZ162" s="1043">
        <f t="shared" si="16"/>
        <v>-54.056120515307462</v>
      </c>
      <c r="BA162" s="241">
        <f t="shared" si="40"/>
        <v>39.148576219043562</v>
      </c>
      <c r="BB162" s="242">
        <f t="shared" si="40"/>
        <v>54.056120515307462</v>
      </c>
      <c r="BC162">
        <f t="shared" si="32"/>
        <v>0.3</v>
      </c>
      <c r="BD162" s="127"/>
      <c r="BM162" s="197"/>
      <c r="BN162" s="197"/>
      <c r="BO162" s="197"/>
      <c r="DF162" s="109"/>
      <c r="DG162" s="109"/>
      <c r="DH162" s="109"/>
      <c r="DI162" s="109"/>
      <c r="DJ162" s="109"/>
      <c r="DK162" s="109"/>
      <c r="DL162" s="186"/>
      <c r="DM162" s="186"/>
      <c r="DN162" s="186"/>
      <c r="DO162" s="186"/>
      <c r="DP162" s="186"/>
      <c r="DQ162" s="186"/>
      <c r="DR162" s="186"/>
      <c r="DS162" s="186"/>
      <c r="DT162" s="186"/>
      <c r="DU162" s="186"/>
      <c r="DV162" s="186"/>
      <c r="DW162" s="186"/>
      <c r="DX162" s="186"/>
      <c r="DY162" s="186"/>
    </row>
    <row r="163" spans="2:142" ht="21" customHeight="1" thickBot="1" x14ac:dyDescent="0.35">
      <c r="B163" s="244">
        <v>25</v>
      </c>
      <c r="C163" s="892"/>
      <c r="D163" s="16">
        <v>1</v>
      </c>
      <c r="E163" s="234" t="s">
        <v>215</v>
      </c>
      <c r="F163" s="235"/>
      <c r="G163" s="235">
        <f t="shared" si="37"/>
        <v>1.3</v>
      </c>
      <c r="H163" s="888">
        <v>251.073172</v>
      </c>
      <c r="I163" s="889">
        <v>65.636175100000003</v>
      </c>
      <c r="J163" s="374">
        <f t="shared" si="17"/>
        <v>64.636175100000003</v>
      </c>
      <c r="K163" s="374">
        <f t="shared" si="18"/>
        <v>32.318087550000001</v>
      </c>
      <c r="L163" s="374">
        <f t="shared" si="5"/>
        <v>0.53461916118589337</v>
      </c>
      <c r="M163" s="374">
        <f t="shared" si="6"/>
        <v>134.22852861092153</v>
      </c>
      <c r="N163" s="374">
        <f t="shared" si="7"/>
        <v>268.45705722184306</v>
      </c>
      <c r="O163" s="983">
        <f>+C139+D140+D141+D142+D143+D144+D145+D146+D147+D148+D149+D150+D151+D152+D153+D154+D155+D156+D157+D158+D159+D160+D161+D162+(D163/2)</f>
        <v>24.5</v>
      </c>
      <c r="P163" s="374">
        <f t="shared" si="8"/>
        <v>0.41469324265623864</v>
      </c>
      <c r="Q163" s="374">
        <f t="shared" si="9"/>
        <v>111.3273275732775</v>
      </c>
      <c r="R163" s="374">
        <f t="shared" si="19"/>
        <v>1540.8144487872678</v>
      </c>
      <c r="S163" s="374">
        <f t="shared" si="33"/>
        <v>1652.1417763605452</v>
      </c>
      <c r="T163" s="375">
        <f t="shared" si="10"/>
        <v>1652.1417763605452</v>
      </c>
      <c r="V163" s="929">
        <f t="shared" si="11"/>
        <v>0</v>
      </c>
      <c r="AB163" s="248" t="str">
        <f t="shared" si="34"/>
        <v>use the locking pin</v>
      </c>
      <c r="AC163" s="48" t="b">
        <f>IF(AD163=25,AF163)</f>
        <v>0</v>
      </c>
      <c r="AD163" s="48">
        <f t="shared" si="20"/>
        <v>1</v>
      </c>
      <c r="AE163" s="48">
        <f>IF(V163=0,0,25)</f>
        <v>0</v>
      </c>
      <c r="AF163" s="966">
        <f>SUM(V163:V164)/($B$136-B162)</f>
        <v>0</v>
      </c>
      <c r="AG163" s="972"/>
      <c r="AH163" s="353">
        <f>SUM(D140:D163)+$C$139</f>
        <v>25</v>
      </c>
      <c r="AI163" s="944" t="b">
        <f t="shared" si="21"/>
        <v>0</v>
      </c>
      <c r="AJ163" s="575">
        <f t="shared" si="22"/>
        <v>50.499008599999996</v>
      </c>
      <c r="AK163" s="944">
        <f t="shared" si="12"/>
        <v>0.77161357708723288</v>
      </c>
      <c r="AL163" s="944">
        <f t="shared" si="23"/>
        <v>224.26398303237247</v>
      </c>
      <c r="AM163" s="968">
        <f t="shared" si="24"/>
        <v>82.181912400000002</v>
      </c>
      <c r="AN163" s="944">
        <f t="shared" si="25"/>
        <v>0.99070494730245873</v>
      </c>
      <c r="AO163" s="969">
        <f t="shared" si="26"/>
        <v>248.73943363532115</v>
      </c>
      <c r="AP163" s="251">
        <f t="shared" si="38"/>
        <v>-61.56991250023205</v>
      </c>
      <c r="AQ163" s="347">
        <f t="shared" si="35"/>
        <v>-673.9</v>
      </c>
      <c r="AR163" s="347">
        <f t="shared" si="39"/>
        <v>-510.6</v>
      </c>
      <c r="AS163" s="348">
        <f t="shared" si="27"/>
        <v>473.00341666769361</v>
      </c>
      <c r="AT163" s="48">
        <f t="shared" si="36"/>
        <v>-248.73943363532115</v>
      </c>
      <c r="AU163" s="348">
        <f t="shared" si="28"/>
        <v>187.1695211350891</v>
      </c>
      <c r="AV163" s="350"/>
      <c r="AW163" s="350">
        <f t="shared" si="29"/>
        <v>-308.55334637356776</v>
      </c>
      <c r="AX163" s="351">
        <f t="shared" si="30"/>
        <v>-202.04665362643226</v>
      </c>
      <c r="AY163" s="351">
        <f t="shared" si="15"/>
        <v>-37.59479563691329</v>
      </c>
      <c r="AZ163" s="1043">
        <f t="shared" si="16"/>
        <v>-49.493519543704899</v>
      </c>
      <c r="BA163" s="241">
        <f t="shared" si="40"/>
        <v>37.59479563691329</v>
      </c>
      <c r="BB163" s="242">
        <f t="shared" si="40"/>
        <v>49.493519543704899</v>
      </c>
      <c r="BC163">
        <f t="shared" si="32"/>
        <v>0.3</v>
      </c>
      <c r="BD163" s="127"/>
      <c r="BM163" s="197"/>
      <c r="BN163" s="197"/>
      <c r="BO163" s="197"/>
      <c r="DF163" s="109"/>
      <c r="DG163" s="109"/>
      <c r="DH163" s="109"/>
      <c r="DI163" s="109"/>
      <c r="DJ163" s="109"/>
      <c r="DK163" s="109"/>
      <c r="DL163" s="186"/>
      <c r="DM163" s="186"/>
      <c r="DN163" s="186"/>
      <c r="DO163" s="186"/>
      <c r="DP163" s="186"/>
      <c r="DQ163" s="186"/>
      <c r="DR163" s="186"/>
      <c r="DS163" s="186"/>
      <c r="DT163" s="186"/>
      <c r="DU163" s="186"/>
      <c r="DV163" s="186"/>
      <c r="DW163" s="186"/>
      <c r="DX163" s="186"/>
      <c r="DY163" s="186"/>
    </row>
    <row r="164" spans="2:142" ht="21" customHeight="1" thickBot="1" x14ac:dyDescent="0.35">
      <c r="B164" s="244">
        <v>26</v>
      </c>
      <c r="C164" s="892"/>
      <c r="D164" s="16">
        <v>1</v>
      </c>
      <c r="E164" s="234" t="s">
        <v>215</v>
      </c>
      <c r="F164" s="235"/>
      <c r="G164" s="235">
        <f t="shared" si="37"/>
        <v>1.3</v>
      </c>
      <c r="H164" s="888">
        <v>251.073172</v>
      </c>
      <c r="I164" s="889">
        <v>65.636175100000003</v>
      </c>
      <c r="J164" s="374">
        <f t="shared" si="17"/>
        <v>64.636175100000003</v>
      </c>
      <c r="K164" s="374">
        <f t="shared" si="18"/>
        <v>32.318087550000001</v>
      </c>
      <c r="L164" s="374">
        <f t="shared" si="5"/>
        <v>0.53461916118589337</v>
      </c>
      <c r="M164" s="374">
        <f t="shared" si="6"/>
        <v>134.22852861092153</v>
      </c>
      <c r="N164" s="374">
        <f t="shared" si="7"/>
        <v>268.45705722184306</v>
      </c>
      <c r="O164" s="983">
        <f>+C139+D140+D141+D142+D143+D144+D145+D146+D147+D148+D149+D150+D151+D152+D153+D154+D155+D156+D157+D158+D159+D160+D161+D162+D163+(D164/2)</f>
        <v>25.5</v>
      </c>
      <c r="P164" s="374">
        <f t="shared" si="8"/>
        <v>0.43051109680829475</v>
      </c>
      <c r="Q164" s="374">
        <f t="shared" si="9"/>
        <v>115.5737421505028</v>
      </c>
      <c r="R164" s="374">
        <f t="shared" si="19"/>
        <v>1652.1417763605452</v>
      </c>
      <c r="S164" s="374">
        <f t="shared" si="33"/>
        <v>1767.715518511048</v>
      </c>
      <c r="T164" s="375">
        <f t="shared" si="10"/>
        <v>1767.715518511048</v>
      </c>
      <c r="V164" s="929">
        <f t="shared" si="11"/>
        <v>0</v>
      </c>
      <c r="AB164" s="248" t="str">
        <f t="shared" si="34"/>
        <v>use the locking pin</v>
      </c>
      <c r="AC164" s="48" t="b">
        <f>IF(AD164=26,AF164)</f>
        <v>0</v>
      </c>
      <c r="AD164" s="48">
        <f t="shared" si="20"/>
        <v>1</v>
      </c>
      <c r="AE164" s="48">
        <f>IF(V164=0,0,26)</f>
        <v>0</v>
      </c>
      <c r="AF164" s="966">
        <f t="shared" ref="AF164" si="41">SUM(V164:V164)/($B$136-B163)</f>
        <v>0</v>
      </c>
      <c r="AG164" s="972"/>
      <c r="AH164" s="353">
        <f>SUM(D140:D164)+$C$139</f>
        <v>26</v>
      </c>
      <c r="AI164" s="944" t="b">
        <f t="shared" si="21"/>
        <v>0</v>
      </c>
      <c r="AJ164" s="575">
        <f t="shared" si="22"/>
        <v>49.499008599999996</v>
      </c>
      <c r="AK164" s="944">
        <f t="shared" si="12"/>
        <v>0.76039472796049201</v>
      </c>
      <c r="AL164" s="944">
        <f t="shared" si="23"/>
        <v>221.0033045465172</v>
      </c>
      <c r="AM164" s="968">
        <f t="shared" si="24"/>
        <v>83.181912400000002</v>
      </c>
      <c r="AN164" s="944">
        <f t="shared" si="25"/>
        <v>0.99292807989564835</v>
      </c>
      <c r="AO164" s="969">
        <f t="shared" si="26"/>
        <v>249.29760258726986</v>
      </c>
      <c r="AP164" s="251">
        <f t="shared" si="38"/>
        <v>-58.228555885568589</v>
      </c>
      <c r="AQ164" s="347">
        <f t="shared" si="35"/>
        <v>-703.2</v>
      </c>
      <c r="AR164" s="347">
        <f t="shared" si="39"/>
        <v>-539.90000000000009</v>
      </c>
      <c r="AS164" s="348">
        <f t="shared" si="27"/>
        <v>470.30090713378706</v>
      </c>
      <c r="AT164" s="48">
        <f t="shared" si="36"/>
        <v>-249.29760258726986</v>
      </c>
      <c r="AU164" s="348">
        <f t="shared" si="28"/>
        <v>191.06904670170127</v>
      </c>
      <c r="AV164" s="350"/>
      <c r="AW164" s="350">
        <f t="shared" si="29"/>
        <v>-320.55494505860486</v>
      </c>
      <c r="AX164" s="351">
        <f t="shared" si="30"/>
        <v>-219.34505494139523</v>
      </c>
      <c r="AY164" s="351">
        <f t="shared" si="15"/>
        <v>-36.187243961808953</v>
      </c>
      <c r="AZ164" s="1043">
        <f t="shared" si="16"/>
        <v>-45.590268732850198</v>
      </c>
      <c r="BA164" s="241">
        <f t="shared" si="40"/>
        <v>36.187243961808953</v>
      </c>
      <c r="BB164" s="242">
        <f t="shared" si="40"/>
        <v>45.590268732850198</v>
      </c>
      <c r="BC164">
        <f t="shared" si="32"/>
        <v>0.3</v>
      </c>
      <c r="BD164" s="127"/>
      <c r="BM164" s="197"/>
      <c r="BN164" s="197"/>
      <c r="BO164" s="197"/>
      <c r="DF164" s="109"/>
      <c r="DG164" s="109"/>
      <c r="DH164" s="109"/>
      <c r="DI164" s="109"/>
      <c r="DJ164" s="109"/>
      <c r="DK164" s="109"/>
      <c r="DL164" s="186"/>
      <c r="DM164" s="186"/>
      <c r="DN164" s="186"/>
      <c r="DO164" s="186"/>
      <c r="DP164" s="186"/>
      <c r="DQ164" s="186"/>
      <c r="DR164" s="186"/>
      <c r="DS164" s="186"/>
      <c r="DT164" s="186"/>
      <c r="DU164" s="186"/>
      <c r="DV164" s="186"/>
      <c r="DW164" s="186"/>
      <c r="DX164" s="186"/>
      <c r="DY164" s="186"/>
    </row>
    <row r="165" spans="2:142" ht="21" customHeight="1" thickBot="1" x14ac:dyDescent="0.35">
      <c r="D165" s="421"/>
      <c r="E165" s="421"/>
      <c r="F165" s="421"/>
      <c r="G165" s="421"/>
      <c r="V165" s="340"/>
      <c r="W165" s="340"/>
      <c r="X165" s="340"/>
      <c r="Y165" s="340"/>
      <c r="Z165" s="340"/>
      <c r="AA165" s="340"/>
      <c r="AB165" s="366"/>
      <c r="AC165" s="366"/>
      <c r="AD165" s="366"/>
      <c r="AE165" s="366"/>
      <c r="AF165" s="340"/>
      <c r="AG165" s="340"/>
      <c r="AH165" s="340"/>
      <c r="AI165" s="340"/>
      <c r="AJ165" s="421"/>
      <c r="AK165" s="318"/>
      <c r="AL165" s="254"/>
      <c r="AM165" s="421"/>
      <c r="AN165" s="318"/>
      <c r="AO165" s="254"/>
      <c r="AP165" s="348"/>
      <c r="AQ165" s="254"/>
      <c r="AR165" s="348"/>
      <c r="AS165" s="348"/>
      <c r="AT165" s="348"/>
      <c r="AU165" s="348"/>
      <c r="AV165" s="348"/>
      <c r="AW165" s="350"/>
      <c r="AX165" s="348"/>
      <c r="AY165" s="422"/>
      <c r="AZ165" s="422"/>
      <c r="BA165" s="422"/>
      <c r="BB165" s="422"/>
      <c r="BD165" s="423"/>
      <c r="BM165" s="197"/>
      <c r="BN165" s="197"/>
      <c r="BO165" s="197"/>
    </row>
    <row r="166" spans="2:142" ht="19.5" customHeight="1" thickBot="1" x14ac:dyDescent="0.35">
      <c r="B166" s="1134" t="s">
        <v>305</v>
      </c>
      <c r="D166" s="421"/>
      <c r="E166" s="421"/>
      <c r="F166" s="421"/>
      <c r="G166" s="421"/>
      <c r="V166" s="340"/>
      <c r="W166" s="340"/>
      <c r="X166" s="340"/>
      <c r="Y166" s="340"/>
      <c r="Z166" s="340"/>
      <c r="AA166" s="340"/>
      <c r="AB166" s="366"/>
      <c r="AC166" s="366"/>
      <c r="AD166" s="366"/>
      <c r="AE166" s="366"/>
      <c r="AF166" s="340"/>
      <c r="AG166" s="340"/>
      <c r="AH166" s="424" t="s">
        <v>71</v>
      </c>
      <c r="AI166" s="425">
        <f>MAX(AI139:AI164)</f>
        <v>1</v>
      </c>
      <c r="AJ166" s="421"/>
      <c r="AK166" s="318"/>
      <c r="AL166" s="686" t="s">
        <v>152</v>
      </c>
      <c r="AM166" s="687"/>
      <c r="AN166" s="687"/>
      <c r="AO166" s="687"/>
      <c r="AP166" s="688"/>
      <c r="AQ166" s="254"/>
      <c r="AR166" s="348"/>
      <c r="AS166" s="348"/>
      <c r="AT166" s="348"/>
      <c r="AU166" s="348"/>
      <c r="AV166" s="348"/>
      <c r="AW166" s="348"/>
      <c r="AX166" s="348"/>
      <c r="AY166" s="422"/>
      <c r="AZ166" s="422"/>
      <c r="BA166" s="422"/>
      <c r="BB166" s="422"/>
      <c r="BD166" s="423"/>
      <c r="BE166" s="119"/>
      <c r="BF166" s="119"/>
      <c r="BG166" s="259" t="s">
        <v>107</v>
      </c>
      <c r="BH166" s="119"/>
      <c r="BI166" s="119"/>
      <c r="BJ166" s="119"/>
      <c r="BK166" s="119"/>
      <c r="BL166" s="119"/>
      <c r="BM166" s="197"/>
      <c r="BN166" s="197"/>
      <c r="BO166" s="197"/>
    </row>
    <row r="167" spans="2:142" ht="19.5" customHeight="1" thickBot="1" x14ac:dyDescent="0.35">
      <c r="B167" s="1135"/>
      <c r="D167" s="421"/>
      <c r="E167" s="421"/>
      <c r="F167" s="421"/>
      <c r="G167" s="421"/>
      <c r="V167" s="340"/>
      <c r="W167" s="340"/>
      <c r="X167" s="340"/>
      <c r="Y167" s="340"/>
      <c r="Z167" s="340"/>
      <c r="AA167" s="340"/>
      <c r="AB167" s="366"/>
      <c r="AC167" s="366"/>
      <c r="AD167" s="366"/>
      <c r="AE167" s="366"/>
      <c r="AF167" s="340"/>
      <c r="AG167" s="340"/>
      <c r="AH167" s="694"/>
      <c r="AI167" s="695"/>
      <c r="AJ167" s="421"/>
      <c r="AK167" s="318"/>
      <c r="AL167" s="657" t="s">
        <v>129</v>
      </c>
      <c r="AM167" s="658" t="s">
        <v>130</v>
      </c>
      <c r="AN167" s="658" t="s">
        <v>131</v>
      </c>
      <c r="AO167" s="659" t="s">
        <v>135</v>
      </c>
      <c r="AP167" s="660"/>
      <c r="AQ167" s="254"/>
      <c r="AR167" s="348"/>
      <c r="AS167" s="348"/>
      <c r="AT167" s="348"/>
      <c r="AU167" s="348"/>
      <c r="AV167" s="348"/>
      <c r="AW167" s="348"/>
      <c r="AX167" s="348"/>
      <c r="AY167" s="422"/>
      <c r="AZ167" s="422"/>
      <c r="BA167" s="422"/>
      <c r="BB167" s="422"/>
      <c r="BD167" s="423"/>
      <c r="BE167" s="119"/>
      <c r="BF167" s="119"/>
      <c r="BG167" s="259"/>
      <c r="BH167" s="119"/>
      <c r="BI167" s="119"/>
      <c r="BJ167" s="119"/>
      <c r="BK167" s="119"/>
      <c r="BL167" s="119"/>
      <c r="BM167" s="197"/>
      <c r="BN167" s="197"/>
      <c r="BO167" s="197"/>
    </row>
    <row r="168" spans="2:142" ht="19.5" customHeight="1" thickBot="1" x14ac:dyDescent="0.35">
      <c r="B168" s="1135"/>
      <c r="D168" s="421"/>
      <c r="E168" s="421"/>
      <c r="F168" s="421"/>
      <c r="G168" s="421"/>
      <c r="V168" s="340"/>
      <c r="W168" s="340"/>
      <c r="X168" s="340"/>
      <c r="Y168" s="340"/>
      <c r="Z168" s="340"/>
      <c r="AA168" s="340"/>
      <c r="AB168" s="366"/>
      <c r="AC168" s="366"/>
      <c r="AD168" s="366"/>
      <c r="AE168" s="366"/>
      <c r="AF168" s="340"/>
      <c r="AG168" s="340"/>
      <c r="AH168" s="694"/>
      <c r="AI168" s="695"/>
      <c r="AJ168" s="421"/>
      <c r="AK168" s="318"/>
      <c r="AL168" s="661">
        <v>6.8623010000000004</v>
      </c>
      <c r="AM168" s="662">
        <f>+(AI166*-1)-AL168</f>
        <v>-7.8623010000000004</v>
      </c>
      <c r="AN168" s="663">
        <f>COS(AM168*3.14159265358979/180)</f>
        <v>0.9905996834409182</v>
      </c>
      <c r="AO168" s="689">
        <f>+AN168*378.71303</f>
        <v>375.15300763295096</v>
      </c>
      <c r="AP168" s="664"/>
      <c r="AQ168" s="254"/>
      <c r="AR168" s="348"/>
      <c r="AS168" s="348"/>
      <c r="AT168" s="348"/>
      <c r="AU168" s="348"/>
      <c r="AV168" s="348"/>
      <c r="AW168" s="348"/>
      <c r="AX168" s="348"/>
      <c r="AY168" s="422"/>
      <c r="AZ168" s="422"/>
      <c r="BA168" s="422"/>
      <c r="BB168" s="422"/>
      <c r="BD168" s="423"/>
      <c r="BE168" s="119"/>
      <c r="BF168" s="119"/>
      <c r="BG168" s="259"/>
      <c r="BH168" s="119"/>
      <c r="BI168" s="119"/>
      <c r="BJ168" s="119"/>
      <c r="BK168" s="119"/>
      <c r="BL168" s="119"/>
      <c r="BM168" s="197"/>
      <c r="BN168" s="197"/>
      <c r="BO168" s="197"/>
    </row>
    <row r="169" spans="2:142" ht="19.5" customHeight="1" thickBot="1" x14ac:dyDescent="0.35">
      <c r="B169" s="1135"/>
      <c r="D169" s="421"/>
      <c r="E169" s="421"/>
      <c r="F169" s="421"/>
      <c r="G169" s="421"/>
      <c r="V169" s="340"/>
      <c r="W169" s="340"/>
      <c r="X169" s="340"/>
      <c r="Y169" s="340"/>
      <c r="Z169" s="340"/>
      <c r="AA169" s="340"/>
      <c r="AB169" s="366"/>
      <c r="AC169" s="366"/>
      <c r="AD169" s="366"/>
      <c r="AE169" s="366"/>
      <c r="AF169" s="340"/>
      <c r="AG169" s="340"/>
      <c r="AH169" s="694"/>
      <c r="AI169" s="695"/>
      <c r="AJ169" s="421"/>
      <c r="AK169" s="318"/>
      <c r="AL169" s="685" t="s">
        <v>151</v>
      </c>
      <c r="AM169" s="690"/>
      <c r="AN169" s="690"/>
      <c r="AO169" s="690"/>
      <c r="AP169" s="691"/>
      <c r="AQ169" s="254"/>
      <c r="AR169" s="348"/>
      <c r="AS169" s="348"/>
      <c r="AT169" s="348"/>
      <c r="AU169" s="348"/>
      <c r="AV169" s="348"/>
      <c r="AW169" s="348"/>
      <c r="AX169" s="348"/>
      <c r="AY169" s="422"/>
      <c r="AZ169" s="422"/>
      <c r="BA169" s="422"/>
      <c r="BB169" s="422"/>
      <c r="BD169" s="423"/>
      <c r="BE169" s="119"/>
      <c r="BF169" s="119"/>
      <c r="BG169" s="259"/>
      <c r="BH169" s="119"/>
      <c r="BI169" s="119"/>
      <c r="BJ169" s="119"/>
      <c r="BK169" s="119"/>
      <c r="BL169" s="119"/>
      <c r="BM169" s="197"/>
      <c r="BN169" s="197"/>
      <c r="BO169" s="197"/>
    </row>
    <row r="170" spans="2:142" ht="19.5" customHeight="1" thickBot="1" x14ac:dyDescent="0.35">
      <c r="B170" s="1136"/>
      <c r="C170"/>
      <c r="D170" s="421"/>
      <c r="E170" s="366"/>
      <c r="F170" s="421"/>
      <c r="G170" s="421"/>
      <c r="V170" s="340"/>
      <c r="W170" s="340"/>
      <c r="X170" s="340"/>
      <c r="Y170" s="340"/>
      <c r="Z170" s="340"/>
      <c r="AA170" s="340"/>
      <c r="AB170" s="366"/>
      <c r="AC170" s="366"/>
      <c r="AD170" s="366"/>
      <c r="AE170" s="366"/>
      <c r="AF170" s="340"/>
      <c r="AG170" s="340"/>
      <c r="AH170" s="340"/>
      <c r="AI170" s="340"/>
      <c r="AJ170" s="421"/>
      <c r="AK170" s="318"/>
      <c r="AL170" s="692"/>
      <c r="AM170" s="658" t="s">
        <v>147</v>
      </c>
      <c r="AN170" s="658" t="s">
        <v>146</v>
      </c>
      <c r="AO170" s="659" t="s">
        <v>149</v>
      </c>
      <c r="AP170" s="961" t="s">
        <v>144</v>
      </c>
      <c r="AQ170" s="254"/>
      <c r="AR170" s="348"/>
      <c r="AS170" s="348"/>
      <c r="AT170" s="348"/>
      <c r="AU170" s="348"/>
      <c r="AV170" s="348"/>
      <c r="AW170" s="348"/>
      <c r="AX170" s="348"/>
      <c r="AY170" s="422"/>
      <c r="AZ170" s="422"/>
      <c r="BA170" s="422"/>
      <c r="BB170" s="422"/>
      <c r="BD170" s="423"/>
      <c r="BE170" s="260">
        <v>1</v>
      </c>
      <c r="BF170" s="261">
        <v>-473</v>
      </c>
      <c r="BG170" s="262">
        <f>+COS(($B$133*-1)*3.14159265358979/180)*BF170</f>
        <v>-473</v>
      </c>
      <c r="BH170" s="263">
        <f t="shared" ref="BH170:BH209" si="42">+BG170-D$3</f>
        <v>-700.31010752822385</v>
      </c>
      <c r="BI170" s="264">
        <f t="shared" ref="BI170:BI209" si="43">ABS(BH170)</f>
        <v>700.31010752822385</v>
      </c>
      <c r="BJ170" s="265">
        <f>MIN(BI170:BI209)</f>
        <v>12.310107528223824</v>
      </c>
      <c r="BK170" s="264" t="b">
        <f>IF(BJ170=BI170,BE170)</f>
        <v>0</v>
      </c>
      <c r="BL170" s="266">
        <v>1</v>
      </c>
      <c r="BM170" s="197"/>
      <c r="BN170" s="197"/>
      <c r="BO170" s="197"/>
    </row>
    <row r="171" spans="2:142" ht="37.5" customHeight="1" thickBot="1" x14ac:dyDescent="0.35">
      <c r="B171" s="23">
        <v>0</v>
      </c>
      <c r="D171" s="426" t="s">
        <v>307</v>
      </c>
      <c r="E171" s="1034"/>
      <c r="F171" s="421"/>
      <c r="G171" s="421"/>
      <c r="V171" s="340"/>
      <c r="W171" s="340"/>
      <c r="X171" s="340"/>
      <c r="Y171" s="340"/>
      <c r="Z171" s="340"/>
      <c r="AA171" s="340"/>
      <c r="AB171" s="422"/>
      <c r="AC171" s="366"/>
      <c r="AD171" s="366"/>
      <c r="AE171" s="366"/>
      <c r="AF171" s="340"/>
      <c r="AG171" s="340"/>
      <c r="AH171" s="340"/>
      <c r="AI171" s="340"/>
      <c r="AJ171" s="421"/>
      <c r="AK171" s="318"/>
      <c r="AL171" s="693"/>
      <c r="AM171" s="665">
        <f>+AI166</f>
        <v>1</v>
      </c>
      <c r="AN171" s="666">
        <f>SIN(AM171*3.14159265358979/180)</f>
        <v>1.7452406437283494E-2</v>
      </c>
      <c r="AO171" s="667">
        <f>+AN171*((+B136*358.6)+119+119)</f>
        <v>10.412105680483332</v>
      </c>
      <c r="AP171" s="962">
        <f>+AO168+AO171</f>
        <v>385.56511331343427</v>
      </c>
      <c r="AQ171" s="254"/>
      <c r="AR171" s="348"/>
      <c r="AS171" s="348"/>
      <c r="AT171" s="348"/>
      <c r="AU171" s="348"/>
      <c r="AV171" s="348"/>
      <c r="AW171" s="348"/>
      <c r="AX171" s="348"/>
      <c r="AY171" s="422"/>
      <c r="AZ171" s="422"/>
      <c r="BA171" s="422"/>
      <c r="BB171" s="422"/>
      <c r="BD171" s="423"/>
      <c r="BE171" s="260">
        <v>2</v>
      </c>
      <c r="BF171" s="261">
        <f>+BF170+43</f>
        <v>-430</v>
      </c>
      <c r="BG171" s="31">
        <f>+BG170+$E$2</f>
        <v>-430</v>
      </c>
      <c r="BH171" s="263">
        <f t="shared" si="42"/>
        <v>-657.31010752822385</v>
      </c>
      <c r="BI171" s="264">
        <f t="shared" si="43"/>
        <v>657.31010752822385</v>
      </c>
      <c r="BJ171" s="264">
        <f>+BJ170</f>
        <v>12.310107528223824</v>
      </c>
      <c r="BK171" s="264" t="b">
        <f t="shared" ref="BK171:BK209" si="44">IF(BJ171=BI171,BE171)</f>
        <v>0</v>
      </c>
      <c r="BL171" s="266">
        <v>2</v>
      </c>
      <c r="BM171" s="197"/>
      <c r="BN171" s="197"/>
      <c r="BO171" s="197"/>
    </row>
    <row r="172" spans="2:142" ht="21" thickBot="1" x14ac:dyDescent="0.35">
      <c r="D172" s="421"/>
      <c r="E172" s="421"/>
      <c r="F172" s="421"/>
      <c r="G172" s="421"/>
      <c r="V172" s="340"/>
      <c r="W172" s="340"/>
      <c r="X172" s="340"/>
      <c r="Y172" s="340"/>
      <c r="Z172" s="340"/>
      <c r="AA172" s="340"/>
      <c r="AB172" s="366"/>
      <c r="AC172" s="366"/>
      <c r="AD172" s="366"/>
      <c r="AE172" s="366"/>
      <c r="AF172" s="340"/>
      <c r="AG172" s="340"/>
      <c r="AH172" s="340"/>
      <c r="AI172" s="340"/>
      <c r="AJ172" s="421"/>
      <c r="AK172" s="318"/>
      <c r="AL172" s="254"/>
      <c r="AM172" s="421"/>
      <c r="AN172" s="318"/>
      <c r="AO172" s="254"/>
      <c r="AP172" s="348"/>
      <c r="AQ172" s="254"/>
      <c r="AR172" s="348"/>
      <c r="AS172" s="348"/>
      <c r="AT172" s="348"/>
      <c r="AU172" s="348"/>
      <c r="AV172" s="348"/>
      <c r="AW172" s="348"/>
      <c r="AX172" s="348"/>
      <c r="AY172" s="422"/>
      <c r="AZ172" s="422"/>
      <c r="BA172" s="422"/>
      <c r="BB172" s="422"/>
      <c r="BD172" s="423"/>
      <c r="BE172" s="260">
        <v>3</v>
      </c>
      <c r="BF172" s="261">
        <f t="shared" ref="BF172:BF209" si="45">+BF171+43</f>
        <v>-387</v>
      </c>
      <c r="BG172" s="31">
        <f t="shared" ref="BG172:BG209" si="46">+BG171+$E$2</f>
        <v>-387</v>
      </c>
      <c r="BH172" s="263">
        <f t="shared" si="42"/>
        <v>-614.31010752822385</v>
      </c>
      <c r="BI172" s="264">
        <f t="shared" si="43"/>
        <v>614.31010752822385</v>
      </c>
      <c r="BJ172" s="264">
        <f t="shared" ref="BJ172:BJ209" si="47">+BJ171</f>
        <v>12.310107528223824</v>
      </c>
      <c r="BK172" s="264" t="b">
        <f t="shared" si="44"/>
        <v>0</v>
      </c>
      <c r="BL172" s="266">
        <v>3</v>
      </c>
      <c r="BM172" s="197"/>
      <c r="BN172" s="197"/>
      <c r="BO172" s="197"/>
    </row>
    <row r="173" spans="2:142" ht="78" customHeight="1" thickBot="1" x14ac:dyDescent="0.35">
      <c r="B173" s="284" t="s">
        <v>156</v>
      </c>
      <c r="C173" s="315"/>
      <c r="D173" s="26"/>
      <c r="E173" s="26"/>
      <c r="F173" s="26"/>
      <c r="G173" s="26"/>
      <c r="T173" s="170"/>
      <c r="BD173" s="119"/>
      <c r="BE173" s="260">
        <v>4</v>
      </c>
      <c r="BF173" s="261">
        <f t="shared" si="45"/>
        <v>-344</v>
      </c>
      <c r="BG173" s="31">
        <f t="shared" si="46"/>
        <v>-344</v>
      </c>
      <c r="BH173" s="263">
        <f t="shared" si="42"/>
        <v>-571.31010752822385</v>
      </c>
      <c r="BI173" s="264">
        <f t="shared" si="43"/>
        <v>571.31010752822385</v>
      </c>
      <c r="BJ173" s="264">
        <f t="shared" si="47"/>
        <v>12.310107528223824</v>
      </c>
      <c r="BK173" s="264" t="b">
        <f t="shared" si="44"/>
        <v>0</v>
      </c>
      <c r="BL173" s="266">
        <v>4</v>
      </c>
      <c r="BM173" s="197"/>
      <c r="BN173" s="197"/>
      <c r="BO173" s="197"/>
      <c r="EK173" s="62"/>
      <c r="EL173" s="62"/>
    </row>
    <row r="174" spans="2:142" ht="60" thickBot="1" x14ac:dyDescent="0.35">
      <c r="B174" s="17">
        <v>1</v>
      </c>
      <c r="C174" s="199"/>
      <c r="D174" s="434" t="s">
        <v>98</v>
      </c>
      <c r="E174" s="277"/>
      <c r="F174" s="277"/>
      <c r="G174" s="277"/>
      <c r="H174" s="283" t="s">
        <v>76</v>
      </c>
      <c r="I174" s="283" t="s">
        <v>77</v>
      </c>
      <c r="J174" s="283" t="s">
        <v>78</v>
      </c>
      <c r="K174"/>
      <c r="L174"/>
      <c r="M174"/>
      <c r="N174"/>
      <c r="O174"/>
      <c r="P174" s="283" t="s">
        <v>79</v>
      </c>
      <c r="Q174" s="283" t="s">
        <v>80</v>
      </c>
      <c r="R174" s="277"/>
      <c r="S174" s="283" t="s">
        <v>81</v>
      </c>
      <c r="T174" s="317"/>
      <c r="W174" s="1117" t="s">
        <v>82</v>
      </c>
      <c r="X174" s="1117"/>
      <c r="Y174" s="1117"/>
      <c r="Z174" s="1117"/>
      <c r="AA174" s="1117"/>
      <c r="AZ174" s="318"/>
      <c r="BA174" s="1115" t="s">
        <v>46</v>
      </c>
      <c r="BB174" s="1116"/>
      <c r="BD174" s="119"/>
      <c r="BE174" s="260">
        <v>5</v>
      </c>
      <c r="BF174" s="261">
        <f t="shared" si="45"/>
        <v>-301</v>
      </c>
      <c r="BG174" s="31">
        <f t="shared" si="46"/>
        <v>-301</v>
      </c>
      <c r="BH174" s="263">
        <f t="shared" si="42"/>
        <v>-528.31010752822385</v>
      </c>
      <c r="BI174" s="264">
        <f t="shared" si="43"/>
        <v>528.31010752822385</v>
      </c>
      <c r="BJ174" s="264">
        <f t="shared" si="47"/>
        <v>12.310107528223824</v>
      </c>
      <c r="BK174" s="264" t="b">
        <f t="shared" si="44"/>
        <v>0</v>
      </c>
      <c r="BL174" s="266">
        <v>5</v>
      </c>
      <c r="BM174" s="197"/>
      <c r="BN174" s="197"/>
      <c r="BO174" s="197"/>
      <c r="EK174" s="62"/>
      <c r="EL174" s="62"/>
    </row>
    <row r="175" spans="2:142" ht="35" hidden="1" thickBot="1" x14ac:dyDescent="0.35">
      <c r="C175" s="319"/>
      <c r="D175" s="428" t="s">
        <v>13</v>
      </c>
      <c r="H175" s="288" t="s">
        <v>4</v>
      </c>
      <c r="I175" s="288" t="s">
        <v>1</v>
      </c>
      <c r="J175" s="292" t="s">
        <v>65</v>
      </c>
      <c r="K175" s="275" t="s">
        <v>2</v>
      </c>
      <c r="L175" s="275" t="s">
        <v>3</v>
      </c>
      <c r="M175" s="275" t="s">
        <v>8</v>
      </c>
      <c r="N175" s="275" t="s">
        <v>5</v>
      </c>
      <c r="O175" s="275" t="s">
        <v>6</v>
      </c>
      <c r="P175" s="275" t="s">
        <v>7</v>
      </c>
      <c r="Q175" s="275" t="s">
        <v>9</v>
      </c>
      <c r="R175" s="288" t="s">
        <v>10</v>
      </c>
      <c r="S175" s="275" t="s">
        <v>11</v>
      </c>
      <c r="T175" s="321" t="s">
        <v>12</v>
      </c>
      <c r="W175" s="288" t="s">
        <v>100</v>
      </c>
      <c r="X175" s="275" t="s">
        <v>83</v>
      </c>
      <c r="Y175" s="288" t="s">
        <v>99</v>
      </c>
      <c r="Z175" s="322" t="s">
        <v>84</v>
      </c>
      <c r="AA175" s="322" t="s">
        <v>85</v>
      </c>
      <c r="AC175" s="275" t="s">
        <v>88</v>
      </c>
      <c r="AD175" s="275"/>
      <c r="AE175" s="275"/>
      <c r="AF175" s="323"/>
      <c r="AG175" s="323"/>
      <c r="AH175" s="323"/>
      <c r="AI175" s="323"/>
      <c r="AJ175" s="323"/>
      <c r="AK175" s="323"/>
      <c r="AL175" s="323"/>
      <c r="AM175" s="323"/>
      <c r="AN175" s="323"/>
      <c r="AO175" s="323"/>
      <c r="AP175" s="323" t="s">
        <v>255</v>
      </c>
      <c r="AQ175" s="992" t="s">
        <v>242</v>
      </c>
      <c r="AR175" s="323" t="s">
        <v>255</v>
      </c>
      <c r="AS175" s="323"/>
      <c r="AT175" s="323"/>
      <c r="AU175" s="323" t="s">
        <v>255</v>
      </c>
      <c r="AV175" s="323"/>
      <c r="AW175" s="323"/>
      <c r="AX175" s="323"/>
      <c r="AY175" s="318"/>
      <c r="AZ175" s="318"/>
      <c r="BA175" s="323"/>
      <c r="BB175" s="323"/>
      <c r="BC175" s="212"/>
      <c r="BD175" s="119"/>
      <c r="BE175" s="260">
        <v>6</v>
      </c>
      <c r="BF175" s="261">
        <f t="shared" si="45"/>
        <v>-258</v>
      </c>
      <c r="BG175" s="31">
        <f t="shared" si="46"/>
        <v>-258</v>
      </c>
      <c r="BH175" s="263">
        <f t="shared" si="42"/>
        <v>-485.31010752822385</v>
      </c>
      <c r="BI175" s="264">
        <f t="shared" si="43"/>
        <v>485.31010752822385</v>
      </c>
      <c r="BJ175" s="264">
        <f t="shared" si="47"/>
        <v>12.310107528223824</v>
      </c>
      <c r="BK175" s="264" t="b">
        <f t="shared" si="44"/>
        <v>0</v>
      </c>
      <c r="BL175" s="266">
        <v>6</v>
      </c>
      <c r="BM175" s="197"/>
      <c r="BN175" s="197"/>
      <c r="BO175" s="197"/>
      <c r="EK175" s="62"/>
      <c r="EL175" s="62"/>
    </row>
    <row r="176" spans="2:142" ht="27.75" customHeight="1" thickBot="1" x14ac:dyDescent="0.35">
      <c r="B176" s="324"/>
      <c r="C176" s="325"/>
      <c r="D176" s="429" t="s">
        <v>20</v>
      </c>
      <c r="E176" s="26"/>
      <c r="F176" s="277"/>
      <c r="G176" s="221"/>
      <c r="H176" s="288"/>
      <c r="I176" s="288"/>
      <c r="J176" s="292"/>
      <c r="K176" s="275"/>
      <c r="L176" s="275"/>
      <c r="M176" s="275"/>
      <c r="N176" s="275"/>
      <c r="O176" s="275"/>
      <c r="P176" s="275"/>
      <c r="Q176" s="275"/>
      <c r="R176" s="288"/>
      <c r="S176" s="275"/>
      <c r="T176" s="321"/>
      <c r="V176" s="323"/>
      <c r="W176" s="323"/>
      <c r="X176" s="323"/>
      <c r="Y176" s="323"/>
      <c r="Z176" s="323"/>
      <c r="AA176" s="323"/>
      <c r="AB176" s="323"/>
      <c r="AC176" s="326">
        <f>SUM(AC177:AC188)</f>
        <v>338.724824928131</v>
      </c>
      <c r="AD176" s="327"/>
      <c r="AE176" s="327"/>
      <c r="AF176" s="323" t="s">
        <v>36</v>
      </c>
      <c r="AG176" s="430" t="s">
        <v>90</v>
      </c>
      <c r="AH176" s="328" t="s">
        <v>29</v>
      </c>
      <c r="AI176" s="328"/>
      <c r="AJ176" s="5" t="s">
        <v>97</v>
      </c>
      <c r="AK176" s="329" t="s">
        <v>30</v>
      </c>
      <c r="AL176" s="4" t="s">
        <v>31</v>
      </c>
      <c r="AM176" s="3" t="s">
        <v>96</v>
      </c>
      <c r="AN176" s="330" t="s">
        <v>32</v>
      </c>
      <c r="AO176" s="4" t="s">
        <v>33</v>
      </c>
      <c r="AP176" s="331" t="s">
        <v>45</v>
      </c>
      <c r="AQ176" s="981" t="s">
        <v>120</v>
      </c>
      <c r="AR176" s="331" t="s">
        <v>121</v>
      </c>
      <c r="AS176" s="323" t="s">
        <v>44</v>
      </c>
      <c r="AT176" s="323" t="s">
        <v>64</v>
      </c>
      <c r="AU176" s="331" t="s">
        <v>257</v>
      </c>
      <c r="AV176" s="431"/>
      <c r="AW176" s="332" t="s">
        <v>39</v>
      </c>
      <c r="AX176" s="332" t="s">
        <v>40</v>
      </c>
      <c r="AY176" s="333" t="s">
        <v>21</v>
      </c>
      <c r="AZ176" s="333" t="s">
        <v>22</v>
      </c>
      <c r="BA176" s="334" t="s">
        <v>21</v>
      </c>
      <c r="BB176" s="334" t="s">
        <v>22</v>
      </c>
      <c r="BD176" s="119"/>
      <c r="BE176" s="260">
        <v>7</v>
      </c>
      <c r="BF176" s="261">
        <f t="shared" si="45"/>
        <v>-215</v>
      </c>
      <c r="BG176" s="31">
        <f t="shared" si="46"/>
        <v>-215</v>
      </c>
      <c r="BH176" s="263">
        <f t="shared" si="42"/>
        <v>-442.31010752822385</v>
      </c>
      <c r="BI176" s="264">
        <f t="shared" si="43"/>
        <v>442.31010752822385</v>
      </c>
      <c r="BJ176" s="264">
        <f t="shared" si="47"/>
        <v>12.310107528223824</v>
      </c>
      <c r="BK176" s="264" t="b">
        <f t="shared" si="44"/>
        <v>0</v>
      </c>
      <c r="BL176" s="266">
        <v>7</v>
      </c>
      <c r="BM176" s="197"/>
      <c r="BN176" s="197"/>
      <c r="BO176" s="197"/>
      <c r="EK176" s="62"/>
      <c r="EL176" s="62"/>
    </row>
    <row r="177" spans="2:142" ht="23" thickBot="1" x14ac:dyDescent="0.35">
      <c r="B177" s="232">
        <v>1</v>
      </c>
      <c r="C177" s="233">
        <f>+B171+AI166+D177</f>
        <v>1</v>
      </c>
      <c r="D177" s="16">
        <v>0</v>
      </c>
      <c r="E177" s="234" t="s">
        <v>72</v>
      </c>
      <c r="F177" s="235"/>
      <c r="G177" s="235"/>
      <c r="H177" s="403">
        <v>414.62658399999998</v>
      </c>
      <c r="I177" s="404">
        <v>36.220413100000002</v>
      </c>
      <c r="J177" s="405">
        <f>+I177-C177</f>
        <v>35.220413100000002</v>
      </c>
      <c r="K177" s="405"/>
      <c r="L177" s="405"/>
      <c r="M177" s="405"/>
      <c r="N177" s="405"/>
      <c r="O177" s="405"/>
      <c r="P177" s="405">
        <f>COS(J177*3.14159265358979/180)</f>
        <v>0.81693947759059027</v>
      </c>
      <c r="Q177" s="405">
        <f>+P177*H177</f>
        <v>338.724824928131</v>
      </c>
      <c r="R177" s="406">
        <v>334.5</v>
      </c>
      <c r="S177" s="405">
        <f>+Q177</f>
        <v>338.724824928131</v>
      </c>
      <c r="T177" s="407">
        <f t="shared" ref="T177:T188" si="48">+S177</f>
        <v>338.724824928131</v>
      </c>
      <c r="U177" s="359"/>
      <c r="V177" s="408">
        <f>IF(B177&lt;($B$174+1),T177,0)</f>
        <v>338.724824928131</v>
      </c>
      <c r="W177" s="409">
        <v>36.220415500000001</v>
      </c>
      <c r="X177" s="408">
        <f>+W177+AI189</f>
        <v>37.220415500000001</v>
      </c>
      <c r="Y177" s="409">
        <v>414.6266</v>
      </c>
      <c r="Z177" s="322">
        <f>+COS(X177*3.14159265358979/180)*Y177</f>
        <v>330.17314800116634</v>
      </c>
      <c r="AA177" s="410">
        <f>+AC176-Z177</f>
        <v>8.5516769269646602</v>
      </c>
      <c r="AB177" s="376"/>
      <c r="AC177" s="411">
        <f>IF(AD177=1,AF177)</f>
        <v>338.724824928131</v>
      </c>
      <c r="AD177" s="411">
        <f>MAX(AE$177:AE$188)</f>
        <v>1</v>
      </c>
      <c r="AE177" s="411">
        <f>IF(V177=0,0,1)</f>
        <v>1</v>
      </c>
      <c r="AF177" s="408">
        <f>SUM(V177:V188)/($B$174)</f>
        <v>338.724824928131</v>
      </c>
      <c r="AG177" s="408">
        <f>+AA139+$AF$177</f>
        <v>343.47452123276901</v>
      </c>
      <c r="AH177" s="412">
        <f>+D177+C177</f>
        <v>1</v>
      </c>
      <c r="AI177" s="413">
        <f>IF(B177&lt;($B$174+1),AH177)</f>
        <v>1</v>
      </c>
      <c r="AJ177" s="251">
        <f>53.779595+AI177</f>
        <v>54.779595</v>
      </c>
      <c r="AK177" s="414">
        <f>SIN(AJ177*3.14159265358979/180)</f>
        <v>0.81693955912293215</v>
      </c>
      <c r="AL177" s="252">
        <f>+AK177*414.6266</f>
        <v>338.72487180464032</v>
      </c>
      <c r="AM177" s="251">
        <f>59.2910885-AI177</f>
        <v>58.291088500000001</v>
      </c>
      <c r="AN177" s="415">
        <f>SIN(AM177*3.14159265358979/180)</f>
        <v>0.85072936989152403</v>
      </c>
      <c r="AO177" s="253">
        <f>+AN177*479.7721</f>
        <v>408.15621632453326</v>
      </c>
      <c r="AP177" s="416">
        <f t="shared" ref="AP177:AP188" si="49">+((AF177*AQ177)+($AQ$201*($AF$201+$AA$177)))/AR177</f>
        <v>233.98679581979331</v>
      </c>
      <c r="AQ177" s="906">
        <f>$C$10*B174</f>
        <v>72</v>
      </c>
      <c r="AR177" s="416">
        <f t="shared" ref="AR177:AR188" si="50">+AQ177+$AQ$201+31</f>
        <v>132.30000000000001</v>
      </c>
      <c r="AS177" s="417">
        <f>+AO177+AL177</f>
        <v>746.88108812917358</v>
      </c>
      <c r="AT177" s="418">
        <f>+V177-AL177</f>
        <v>-4.6876509316007287E-5</v>
      </c>
      <c r="AU177" s="419">
        <f>+AP177-AT177</f>
        <v>233.98684269630263</v>
      </c>
      <c r="AV177" s="418"/>
      <c r="AW177" s="420">
        <f>+((AS177-AU177)/AS177)*AR177</f>
        <v>90.852358895226317</v>
      </c>
      <c r="AX177" s="420">
        <f>+(AU177/AS177)*AR177</f>
        <v>41.447641104773702</v>
      </c>
      <c r="AY177" s="351">
        <f t="shared" ref="AY177:AY188" si="51">2*$C$18/AW177</f>
        <v>127.6796787783735</v>
      </c>
      <c r="AZ177" s="351">
        <f>2*$D$19/AX177</f>
        <v>279.87117459053604</v>
      </c>
      <c r="BA177" s="354">
        <f>ABS(AY177)</f>
        <v>127.6796787783735</v>
      </c>
      <c r="BB177" s="354">
        <f>ABS(AZ177)</f>
        <v>279.87117459053604</v>
      </c>
      <c r="BC177" s="74"/>
      <c r="BD177" s="119"/>
      <c r="BE177" s="260">
        <v>8</v>
      </c>
      <c r="BF177" s="261">
        <f t="shared" si="45"/>
        <v>-172</v>
      </c>
      <c r="BG177" s="31">
        <f t="shared" si="46"/>
        <v>-172</v>
      </c>
      <c r="BH177" s="263">
        <f t="shared" si="42"/>
        <v>-399.31010752822385</v>
      </c>
      <c r="BI177" s="264">
        <f t="shared" si="43"/>
        <v>399.31010752822385</v>
      </c>
      <c r="BJ177" s="264">
        <f t="shared" si="47"/>
        <v>12.310107528223824</v>
      </c>
      <c r="BK177" s="264" t="b">
        <f t="shared" si="44"/>
        <v>0</v>
      </c>
      <c r="BL177" s="266">
        <v>8</v>
      </c>
      <c r="BM177" s="197"/>
      <c r="BN177" s="197"/>
      <c r="BO177" s="197"/>
      <c r="EK177" s="62"/>
      <c r="EL177" s="62"/>
    </row>
    <row r="178" spans="2:142" ht="23" thickBot="1" x14ac:dyDescent="0.35">
      <c r="B178" s="244">
        <v>2</v>
      </c>
      <c r="C178" s="245"/>
      <c r="D178" s="16">
        <v>0</v>
      </c>
      <c r="E178" s="246" t="s">
        <v>72</v>
      </c>
      <c r="F178" s="235"/>
      <c r="G178" s="235"/>
      <c r="H178" s="403">
        <v>479.77208100000001</v>
      </c>
      <c r="I178" s="404">
        <v>61.416098300000002</v>
      </c>
      <c r="J178" s="374">
        <f>+I178+D178</f>
        <v>61.416098300000002</v>
      </c>
      <c r="K178" s="374">
        <f t="shared" ref="K178:K188" si="52">+J178/2</f>
        <v>30.708049150000001</v>
      </c>
      <c r="L178" s="374">
        <f t="shared" ref="L178:L188" si="53">SIN(K178*3.14159265358979/180)</f>
        <v>0.51066370850547771</v>
      </c>
      <c r="M178" s="374">
        <f t="shared" ref="M178:M188" si="54">+L178*H178</f>
        <v>245.00219012085046</v>
      </c>
      <c r="N178" s="374">
        <f t="shared" ref="N178:N188" si="55">+M178*2</f>
        <v>490.00438024170091</v>
      </c>
      <c r="O178" s="374">
        <f>+C177+(D178/2)</f>
        <v>1</v>
      </c>
      <c r="P178" s="374">
        <f t="shared" ref="P178:P188" si="56">SIN(O178*3.14159265358979/180)</f>
        <v>1.7452406437283494E-2</v>
      </c>
      <c r="Q178" s="374">
        <f t="shared" ref="Q178:Q188" si="57">+P178*N178</f>
        <v>8.55175560002737</v>
      </c>
      <c r="R178" s="374">
        <f t="shared" ref="R178:R188" si="58">+T177</f>
        <v>338.724824928131</v>
      </c>
      <c r="S178" s="374">
        <f>+R178+Q178</f>
        <v>347.27658052815838</v>
      </c>
      <c r="T178" s="375">
        <f t="shared" si="48"/>
        <v>347.27658052815838</v>
      </c>
      <c r="V178" s="340">
        <f t="shared" ref="V178:V188" si="59">IF(B178&lt;($B$174+1),T178,0)</f>
        <v>0</v>
      </c>
      <c r="W178" s="340"/>
      <c r="X178" s="340"/>
      <c r="Y178" s="340"/>
      <c r="Z178" s="340"/>
      <c r="AA178" s="340"/>
      <c r="AB178" s="376"/>
      <c r="AC178" s="411" t="b">
        <f>IF(AD178=2,AF178)</f>
        <v>0</v>
      </c>
      <c r="AD178" s="411">
        <f t="shared" ref="AD178:AD188" si="60">MAX(AE$177:AE$188)</f>
        <v>1</v>
      </c>
      <c r="AE178" s="411">
        <f>IF(V178=0,0,2)</f>
        <v>0</v>
      </c>
      <c r="AF178" s="340" t="e">
        <f>SUM(V178:V188)/($B$174-B177)</f>
        <v>#DIV/0!</v>
      </c>
      <c r="AG178" s="340"/>
      <c r="AH178" s="353">
        <f>SUM(D178)+$C$177</f>
        <v>1</v>
      </c>
      <c r="AI178" s="413" t="b">
        <f t="shared" ref="AI178:AI188" si="61">IF(B178&lt;($B$174+1),AH178)</f>
        <v>0</v>
      </c>
      <c r="AJ178" s="251">
        <f t="shared" ref="AJ178:AJ188" si="62">53.779595+AI178</f>
        <v>53.779595</v>
      </c>
      <c r="AK178" s="344">
        <f>SIN(AJ178*3.14159265358979/180)</f>
        <v>0.8067499259590819</v>
      </c>
      <c r="AL178" s="252">
        <f t="shared" ref="AL178:AL188" si="63">+AK178*414.6266</f>
        <v>334.49997885066585</v>
      </c>
      <c r="AM178" s="251">
        <f t="shared" ref="AM178:AM188" si="64">59.2910885-AI178</f>
        <v>59.291088500000001</v>
      </c>
      <c r="AN178" s="345">
        <f t="shared" ref="AN178:AN188" si="65">SIN(AM178*3.14159265358979/180)</f>
        <v>0.85977285389573432</v>
      </c>
      <c r="AO178" s="253">
        <f t="shared" ref="AO178:AO188" si="66">+AN178*479.7721</f>
        <v>412.49502763654965</v>
      </c>
      <c r="AP178" s="416" t="e">
        <f t="shared" si="49"/>
        <v>#DIV/0!</v>
      </c>
      <c r="AQ178" s="944">
        <f t="shared" ref="AQ178:AQ188" si="67">$C$10*($B$174-B177)</f>
        <v>0</v>
      </c>
      <c r="AR178" s="346">
        <f>+AQ178+$AQ$201+31</f>
        <v>60.3</v>
      </c>
      <c r="AS178" s="347">
        <f t="shared" ref="AS178:AS188" si="68">+AO178+AL178</f>
        <v>746.99500648721551</v>
      </c>
      <c r="AT178" s="348">
        <f t="shared" ref="AT178:AT188" si="69">+V178-AL178</f>
        <v>-334.49997885066585</v>
      </c>
      <c r="AU178" s="349" t="e">
        <f t="shared" ref="AU178:AU188" si="70">+AP178-AT178</f>
        <v>#DIV/0!</v>
      </c>
      <c r="AV178" s="348"/>
      <c r="AW178" s="350" t="e">
        <f t="shared" ref="AW178:AW188" si="71">+((AS178-AU178)/AS178)*AR178</f>
        <v>#DIV/0!</v>
      </c>
      <c r="AX178" s="350" t="e">
        <f t="shared" ref="AX178:AX188" si="72">+(AU178/AS178)*AR178</f>
        <v>#DIV/0!</v>
      </c>
      <c r="AY178" s="351" t="e">
        <f t="shared" si="51"/>
        <v>#DIV/0!</v>
      </c>
      <c r="AZ178" s="351" t="e">
        <f t="shared" ref="AZ178:AZ188" si="73">2*$D$19/AX178</f>
        <v>#DIV/0!</v>
      </c>
      <c r="BA178" s="354" t="e">
        <f t="shared" ref="BA178:BB188" si="74">ABS(AY178)</f>
        <v>#DIV/0!</v>
      </c>
      <c r="BB178" s="354" t="e">
        <f t="shared" si="74"/>
        <v>#DIV/0!</v>
      </c>
      <c r="BD178" s="119"/>
      <c r="BE178" s="260">
        <v>9</v>
      </c>
      <c r="BF178" s="261">
        <f t="shared" si="45"/>
        <v>-129</v>
      </c>
      <c r="BG178" s="31">
        <f t="shared" si="46"/>
        <v>-129</v>
      </c>
      <c r="BH178" s="263">
        <f t="shared" si="42"/>
        <v>-356.31010752822385</v>
      </c>
      <c r="BI178" s="264">
        <f t="shared" si="43"/>
        <v>356.31010752822385</v>
      </c>
      <c r="BJ178" s="264">
        <f t="shared" si="47"/>
        <v>12.310107528223824</v>
      </c>
      <c r="BK178" s="264" t="b">
        <f t="shared" si="44"/>
        <v>0</v>
      </c>
      <c r="BL178" s="266">
        <v>9</v>
      </c>
      <c r="BM178" s="197"/>
      <c r="BN178" s="197"/>
      <c r="BO178" s="197"/>
      <c r="EK178" s="62"/>
      <c r="EL178" s="62"/>
    </row>
    <row r="179" spans="2:142" ht="23" thickBot="1" x14ac:dyDescent="0.35">
      <c r="B179" s="244">
        <v>3</v>
      </c>
      <c r="C179" s="245"/>
      <c r="D179" s="16">
        <v>0</v>
      </c>
      <c r="E179" s="246" t="s">
        <v>72</v>
      </c>
      <c r="F179" s="235"/>
      <c r="G179" s="235"/>
      <c r="H179" s="403">
        <v>479.77208100000001</v>
      </c>
      <c r="I179" s="404">
        <v>61.416098300000002</v>
      </c>
      <c r="J179" s="374">
        <f t="shared" ref="J179:J188" si="75">+I179+D179</f>
        <v>61.416098300000002</v>
      </c>
      <c r="K179" s="374">
        <f t="shared" si="52"/>
        <v>30.708049150000001</v>
      </c>
      <c r="L179" s="374">
        <f t="shared" si="53"/>
        <v>0.51066370850547771</v>
      </c>
      <c r="M179" s="374">
        <f t="shared" si="54"/>
        <v>245.00219012085046</v>
      </c>
      <c r="N179" s="374">
        <f t="shared" si="55"/>
        <v>490.00438024170091</v>
      </c>
      <c r="O179" s="374">
        <f>+C177+D178+(D179/2)</f>
        <v>1</v>
      </c>
      <c r="P179" s="374">
        <f t="shared" si="56"/>
        <v>1.7452406437283494E-2</v>
      </c>
      <c r="Q179" s="374">
        <f t="shared" si="57"/>
        <v>8.55175560002737</v>
      </c>
      <c r="R179" s="374">
        <f t="shared" si="58"/>
        <v>347.27658052815838</v>
      </c>
      <c r="S179" s="374">
        <f t="shared" ref="S179:S188" si="76">+S178+Q179</f>
        <v>355.82833612818575</v>
      </c>
      <c r="T179" s="375">
        <f t="shared" si="48"/>
        <v>355.82833612818575</v>
      </c>
      <c r="V179" s="340">
        <f t="shared" si="59"/>
        <v>0</v>
      </c>
      <c r="W179" s="340"/>
      <c r="X179" s="340"/>
      <c r="Y179" s="340"/>
      <c r="Z179" s="340"/>
      <c r="AA179" s="340"/>
      <c r="AB179" s="376"/>
      <c r="AC179" s="411" t="b">
        <f>IF(AD179=3,AF179)</f>
        <v>0</v>
      </c>
      <c r="AD179" s="411">
        <f t="shared" si="60"/>
        <v>1</v>
      </c>
      <c r="AE179" s="411">
        <f>IF(V179=0,0,3)</f>
        <v>0</v>
      </c>
      <c r="AF179" s="340">
        <f>SUM(V179:V188)/($B$174-B178)</f>
        <v>0</v>
      </c>
      <c r="AG179" s="340"/>
      <c r="AH179" s="353">
        <f>SUM(D178:D179)+$C$177</f>
        <v>1</v>
      </c>
      <c r="AI179" s="413" t="b">
        <f t="shared" si="61"/>
        <v>0</v>
      </c>
      <c r="AJ179" s="251">
        <f t="shared" si="62"/>
        <v>53.779595</v>
      </c>
      <c r="AK179" s="344">
        <f t="shared" ref="AK179:AK188" si="77">SIN(AJ179*3.14159265358979/180)</f>
        <v>0.8067499259590819</v>
      </c>
      <c r="AL179" s="252">
        <f t="shared" si="63"/>
        <v>334.49997885066585</v>
      </c>
      <c r="AM179" s="251">
        <f t="shared" si="64"/>
        <v>59.291088500000001</v>
      </c>
      <c r="AN179" s="345">
        <f t="shared" si="65"/>
        <v>0.85977285389573432</v>
      </c>
      <c r="AO179" s="253">
        <f t="shared" si="66"/>
        <v>412.49502763654965</v>
      </c>
      <c r="AP179" s="416">
        <f t="shared" si="49"/>
        <v>-561.39023009685684</v>
      </c>
      <c r="AQ179" s="944">
        <f t="shared" si="67"/>
        <v>-72</v>
      </c>
      <c r="AR179" s="346">
        <f t="shared" si="50"/>
        <v>-11.700000000000003</v>
      </c>
      <c r="AS179" s="347">
        <f t="shared" si="68"/>
        <v>746.99500648721551</v>
      </c>
      <c r="AT179" s="348">
        <f t="shared" si="69"/>
        <v>-334.49997885066585</v>
      </c>
      <c r="AU179" s="349">
        <f t="shared" si="70"/>
        <v>-226.89025124619099</v>
      </c>
      <c r="AV179" s="348"/>
      <c r="AW179" s="350">
        <f t="shared" si="71"/>
        <v>-15.253726486156731</v>
      </c>
      <c r="AX179" s="350">
        <f t="shared" si="72"/>
        <v>3.5537264861567288</v>
      </c>
      <c r="AY179" s="351">
        <f t="shared" si="51"/>
        <v>-760.46990946949188</v>
      </c>
      <c r="AZ179" s="351">
        <f t="shared" si="73"/>
        <v>3264.1791778818424</v>
      </c>
      <c r="BA179" s="354">
        <f t="shared" si="74"/>
        <v>760.46990946949188</v>
      </c>
      <c r="BB179" s="354">
        <f t="shared" si="74"/>
        <v>3264.1791778818424</v>
      </c>
      <c r="BD179" s="119"/>
      <c r="BE179" s="260">
        <v>10</v>
      </c>
      <c r="BF179" s="261">
        <f t="shared" si="45"/>
        <v>-86</v>
      </c>
      <c r="BG179" s="31">
        <f t="shared" si="46"/>
        <v>-86</v>
      </c>
      <c r="BH179" s="263">
        <f t="shared" si="42"/>
        <v>-313.31010752822385</v>
      </c>
      <c r="BI179" s="264">
        <f t="shared" si="43"/>
        <v>313.31010752822385</v>
      </c>
      <c r="BJ179" s="264">
        <f t="shared" si="47"/>
        <v>12.310107528223824</v>
      </c>
      <c r="BK179" s="264" t="b">
        <f t="shared" si="44"/>
        <v>0</v>
      </c>
      <c r="BL179" s="266">
        <v>10</v>
      </c>
      <c r="BM179" s="197"/>
      <c r="BN179" s="197"/>
      <c r="BO179" s="197"/>
      <c r="EK179" s="62"/>
      <c r="EL179" s="62"/>
    </row>
    <row r="180" spans="2:142" ht="23" thickBot="1" x14ac:dyDescent="0.35">
      <c r="B180" s="244">
        <v>4</v>
      </c>
      <c r="C180" s="245"/>
      <c r="D180" s="16">
        <v>0</v>
      </c>
      <c r="E180" s="246" t="s">
        <v>72</v>
      </c>
      <c r="F180" s="235"/>
      <c r="G180" s="235"/>
      <c r="H180" s="403">
        <v>479.77208100000001</v>
      </c>
      <c r="I180" s="404">
        <v>61.416098300000002</v>
      </c>
      <c r="J180" s="374">
        <f t="shared" si="75"/>
        <v>61.416098300000002</v>
      </c>
      <c r="K180" s="374">
        <f t="shared" si="52"/>
        <v>30.708049150000001</v>
      </c>
      <c r="L180" s="374">
        <f t="shared" si="53"/>
        <v>0.51066370850547771</v>
      </c>
      <c r="M180" s="374">
        <f t="shared" si="54"/>
        <v>245.00219012085046</v>
      </c>
      <c r="N180" s="374">
        <f t="shared" si="55"/>
        <v>490.00438024170091</v>
      </c>
      <c r="O180" s="374">
        <f>+C177+D178+D179+(D180/2)</f>
        <v>1</v>
      </c>
      <c r="P180" s="374">
        <f t="shared" si="56"/>
        <v>1.7452406437283494E-2</v>
      </c>
      <c r="Q180" s="374">
        <f t="shared" si="57"/>
        <v>8.55175560002737</v>
      </c>
      <c r="R180" s="374">
        <f t="shared" si="58"/>
        <v>355.82833612818575</v>
      </c>
      <c r="S180" s="374">
        <f t="shared" si="76"/>
        <v>364.38009172821313</v>
      </c>
      <c r="T180" s="375">
        <f t="shared" si="48"/>
        <v>364.38009172821313</v>
      </c>
      <c r="V180" s="340">
        <f t="shared" si="59"/>
        <v>0</v>
      </c>
      <c r="W180" s="340"/>
      <c r="X180" s="340"/>
      <c r="Y180" s="340"/>
      <c r="Z180" s="340"/>
      <c r="AA180" s="340"/>
      <c r="AB180" s="376"/>
      <c r="AC180" s="411" t="b">
        <f>IF(AD180=4,AF180)</f>
        <v>0</v>
      </c>
      <c r="AD180" s="411">
        <f t="shared" si="60"/>
        <v>1</v>
      </c>
      <c r="AE180" s="411">
        <f>IF(V180=0,0,4)</f>
        <v>0</v>
      </c>
      <c r="AF180" s="340">
        <f>SUM(V180:V188)/($B$174-B179)</f>
        <v>0</v>
      </c>
      <c r="AG180" s="340"/>
      <c r="AH180" s="353">
        <f>SUM(D178:D180)+$C$177</f>
        <v>1</v>
      </c>
      <c r="AI180" s="413" t="b">
        <f t="shared" si="61"/>
        <v>0</v>
      </c>
      <c r="AJ180" s="251">
        <f t="shared" si="62"/>
        <v>53.779595</v>
      </c>
      <c r="AK180" s="344">
        <f t="shared" si="77"/>
        <v>0.8067499259590819</v>
      </c>
      <c r="AL180" s="252">
        <f t="shared" si="63"/>
        <v>334.49997885066585</v>
      </c>
      <c r="AM180" s="251">
        <f t="shared" si="64"/>
        <v>59.291088500000001</v>
      </c>
      <c r="AN180" s="345">
        <f t="shared" si="65"/>
        <v>0.85977285389573432</v>
      </c>
      <c r="AO180" s="253">
        <f t="shared" si="66"/>
        <v>412.49502763654965</v>
      </c>
      <c r="AP180" s="416">
        <f t="shared" si="49"/>
        <v>-78.473903131818716</v>
      </c>
      <c r="AQ180" s="944">
        <f t="shared" si="67"/>
        <v>-144</v>
      </c>
      <c r="AR180" s="346">
        <f t="shared" si="50"/>
        <v>-83.7</v>
      </c>
      <c r="AS180" s="347">
        <f t="shared" si="68"/>
        <v>746.99500648721551</v>
      </c>
      <c r="AT180" s="348">
        <f t="shared" si="69"/>
        <v>-334.49997885066585</v>
      </c>
      <c r="AU180" s="349">
        <f t="shared" si="70"/>
        <v>256.02607571884715</v>
      </c>
      <c r="AV180" s="348"/>
      <c r="AW180" s="350">
        <f t="shared" si="71"/>
        <v>-55.012549144819133</v>
      </c>
      <c r="AX180" s="350">
        <f t="shared" si="72"/>
        <v>-28.68745085518087</v>
      </c>
      <c r="AY180" s="351">
        <f t="shared" si="51"/>
        <v>-210.86097954601769</v>
      </c>
      <c r="AZ180" s="351">
        <f t="shared" si="73"/>
        <v>-404.35799118432561</v>
      </c>
      <c r="BA180" s="354">
        <f t="shared" si="74"/>
        <v>210.86097954601769</v>
      </c>
      <c r="BB180" s="354">
        <f t="shared" si="74"/>
        <v>404.35799118432561</v>
      </c>
      <c r="BD180" s="119"/>
      <c r="BE180" s="260">
        <v>11</v>
      </c>
      <c r="BF180" s="261">
        <f t="shared" si="45"/>
        <v>-43</v>
      </c>
      <c r="BG180" s="31">
        <f t="shared" si="46"/>
        <v>-43</v>
      </c>
      <c r="BH180" s="263">
        <f t="shared" si="42"/>
        <v>-270.31010752822385</v>
      </c>
      <c r="BI180" s="264">
        <f t="shared" si="43"/>
        <v>270.31010752822385</v>
      </c>
      <c r="BJ180" s="264">
        <f t="shared" si="47"/>
        <v>12.310107528223824</v>
      </c>
      <c r="BK180" s="264" t="b">
        <f t="shared" si="44"/>
        <v>0</v>
      </c>
      <c r="BL180" s="266">
        <v>11</v>
      </c>
      <c r="BM180" s="197"/>
      <c r="BN180" s="197"/>
      <c r="BO180" s="197"/>
      <c r="EK180" s="62"/>
      <c r="EL180" s="62"/>
    </row>
    <row r="181" spans="2:142" ht="23" thickBot="1" x14ac:dyDescent="0.35">
      <c r="B181" s="244">
        <v>5</v>
      </c>
      <c r="C181" s="245"/>
      <c r="D181" s="16">
        <v>0</v>
      </c>
      <c r="E181" s="246" t="s">
        <v>72</v>
      </c>
      <c r="F181" s="235"/>
      <c r="G181" s="235"/>
      <c r="H181" s="403">
        <v>479.77208100000001</v>
      </c>
      <c r="I181" s="404">
        <v>61.416098300000002</v>
      </c>
      <c r="J181" s="374">
        <f t="shared" si="75"/>
        <v>61.416098300000002</v>
      </c>
      <c r="K181" s="374">
        <f t="shared" si="52"/>
        <v>30.708049150000001</v>
      </c>
      <c r="L181" s="374">
        <f t="shared" si="53"/>
        <v>0.51066370850547771</v>
      </c>
      <c r="M181" s="374">
        <f t="shared" si="54"/>
        <v>245.00219012085046</v>
      </c>
      <c r="N181" s="374">
        <f t="shared" si="55"/>
        <v>490.00438024170091</v>
      </c>
      <c r="O181" s="374">
        <f>+C177+D178+D179+D180+(D181/2)</f>
        <v>1</v>
      </c>
      <c r="P181" s="374">
        <f t="shared" si="56"/>
        <v>1.7452406437283494E-2</v>
      </c>
      <c r="Q181" s="374">
        <f t="shared" si="57"/>
        <v>8.55175560002737</v>
      </c>
      <c r="R181" s="374">
        <f t="shared" si="58"/>
        <v>364.38009172821313</v>
      </c>
      <c r="S181" s="374">
        <f t="shared" si="76"/>
        <v>372.93184732824051</v>
      </c>
      <c r="T181" s="375">
        <f t="shared" si="48"/>
        <v>372.93184732824051</v>
      </c>
      <c r="V181" s="340">
        <f t="shared" si="59"/>
        <v>0</v>
      </c>
      <c r="W181" s="340"/>
      <c r="X181" s="340"/>
      <c r="Y181" s="340"/>
      <c r="Z181" s="340"/>
      <c r="AA181" s="340"/>
      <c r="AB181" s="376"/>
      <c r="AC181" s="411" t="b">
        <f>IF(AD181=5,AF181)</f>
        <v>0</v>
      </c>
      <c r="AD181" s="411">
        <f t="shared" si="60"/>
        <v>1</v>
      </c>
      <c r="AE181" s="411">
        <f>IF(V181=0,0,5)</f>
        <v>0</v>
      </c>
      <c r="AF181" s="340">
        <f>SUM(V181:V188)/($B$174-B180)</f>
        <v>0</v>
      </c>
      <c r="AG181" s="340"/>
      <c r="AH181" s="353">
        <f>SUM(D178:D181)+$C$177</f>
        <v>1</v>
      </c>
      <c r="AI181" s="413" t="b">
        <f t="shared" si="61"/>
        <v>0</v>
      </c>
      <c r="AJ181" s="251">
        <f t="shared" si="62"/>
        <v>53.779595</v>
      </c>
      <c r="AK181" s="344">
        <f t="shared" si="77"/>
        <v>0.8067499259590819</v>
      </c>
      <c r="AL181" s="252">
        <f t="shared" si="63"/>
        <v>334.49997885066585</v>
      </c>
      <c r="AM181" s="251">
        <f t="shared" si="64"/>
        <v>59.291088500000001</v>
      </c>
      <c r="AN181" s="345">
        <f t="shared" si="65"/>
        <v>0.85977285389573432</v>
      </c>
      <c r="AO181" s="253">
        <f t="shared" si="66"/>
        <v>412.49502763654965</v>
      </c>
      <c r="AP181" s="416">
        <f t="shared" si="49"/>
        <v>-42.185393013058622</v>
      </c>
      <c r="AQ181" s="944">
        <f t="shared" si="67"/>
        <v>-216</v>
      </c>
      <c r="AR181" s="346">
        <f t="shared" si="50"/>
        <v>-155.69999999999999</v>
      </c>
      <c r="AS181" s="347">
        <f t="shared" si="68"/>
        <v>746.99500648721551</v>
      </c>
      <c r="AT181" s="348">
        <f t="shared" si="69"/>
        <v>-334.49997885066585</v>
      </c>
      <c r="AU181" s="349">
        <f t="shared" si="70"/>
        <v>292.31458583760724</v>
      </c>
      <c r="AV181" s="348"/>
      <c r="AW181" s="350">
        <f t="shared" si="71"/>
        <v>-94.771371803481543</v>
      </c>
      <c r="AX181" s="350">
        <f t="shared" si="72"/>
        <v>-60.928628196518453</v>
      </c>
      <c r="AY181" s="351">
        <f t="shared" si="51"/>
        <v>-122.39983213552956</v>
      </c>
      <c r="AZ181" s="351">
        <f t="shared" si="73"/>
        <v>-190.38669248527148</v>
      </c>
      <c r="BA181" s="354">
        <f t="shared" si="74"/>
        <v>122.39983213552956</v>
      </c>
      <c r="BB181" s="354">
        <f t="shared" si="74"/>
        <v>190.38669248527148</v>
      </c>
      <c r="BD181" s="119"/>
      <c r="BE181" s="260">
        <v>12</v>
      </c>
      <c r="BF181" s="261">
        <f t="shared" si="45"/>
        <v>0</v>
      </c>
      <c r="BG181" s="31">
        <f t="shared" si="46"/>
        <v>0</v>
      </c>
      <c r="BH181" s="263">
        <f t="shared" si="42"/>
        <v>-227.31010752822382</v>
      </c>
      <c r="BI181" s="264">
        <f t="shared" si="43"/>
        <v>227.31010752822382</v>
      </c>
      <c r="BJ181" s="264">
        <f t="shared" si="47"/>
        <v>12.310107528223824</v>
      </c>
      <c r="BK181" s="264" t="b">
        <f t="shared" si="44"/>
        <v>0</v>
      </c>
      <c r="BL181" s="266">
        <v>12</v>
      </c>
      <c r="BM181" s="197"/>
      <c r="BN181" s="197"/>
      <c r="BO181" s="197"/>
      <c r="EK181" s="62"/>
      <c r="EL181" s="62"/>
    </row>
    <row r="182" spans="2:142" ht="23" thickBot="1" x14ac:dyDescent="0.35">
      <c r="B182" s="244">
        <v>6</v>
      </c>
      <c r="C182" s="245"/>
      <c r="D182" s="16">
        <v>0</v>
      </c>
      <c r="E182" s="246" t="s">
        <v>72</v>
      </c>
      <c r="F182" s="235"/>
      <c r="G182" s="235"/>
      <c r="H182" s="403">
        <v>479.77208100000001</v>
      </c>
      <c r="I182" s="404">
        <v>61.416098300000002</v>
      </c>
      <c r="J182" s="374">
        <f t="shared" si="75"/>
        <v>61.416098300000002</v>
      </c>
      <c r="K182" s="374">
        <f t="shared" si="52"/>
        <v>30.708049150000001</v>
      </c>
      <c r="L182" s="374">
        <f t="shared" si="53"/>
        <v>0.51066370850547771</v>
      </c>
      <c r="M182" s="374">
        <f t="shared" si="54"/>
        <v>245.00219012085046</v>
      </c>
      <c r="N182" s="374">
        <f t="shared" si="55"/>
        <v>490.00438024170091</v>
      </c>
      <c r="O182" s="374">
        <f>+C177+D178+D179+D180+D181+(D182/2)</f>
        <v>1</v>
      </c>
      <c r="P182" s="374">
        <f t="shared" si="56"/>
        <v>1.7452406437283494E-2</v>
      </c>
      <c r="Q182" s="374">
        <f t="shared" si="57"/>
        <v>8.55175560002737</v>
      </c>
      <c r="R182" s="374">
        <f t="shared" si="58"/>
        <v>372.93184732824051</v>
      </c>
      <c r="S182" s="374">
        <f t="shared" si="76"/>
        <v>381.48360292826789</v>
      </c>
      <c r="T182" s="375">
        <f t="shared" si="48"/>
        <v>381.48360292826789</v>
      </c>
      <c r="V182" s="340">
        <f t="shared" si="59"/>
        <v>0</v>
      </c>
      <c r="W182" s="340"/>
      <c r="X182" s="340"/>
      <c r="Y182" s="340"/>
      <c r="Z182" s="340"/>
      <c r="AA182" s="340"/>
      <c r="AB182" s="376"/>
      <c r="AC182" s="411" t="b">
        <f>IF(AD182=6,AF182)</f>
        <v>0</v>
      </c>
      <c r="AD182" s="411">
        <f t="shared" si="60"/>
        <v>1</v>
      </c>
      <c r="AE182" s="411">
        <f>IF(V182=0,0,6)</f>
        <v>0</v>
      </c>
      <c r="AF182" s="340">
        <f>SUM(V182:V188)/($B$174-B181)</f>
        <v>0</v>
      </c>
      <c r="AG182" s="340"/>
      <c r="AH182" s="353">
        <f>SUM(D178:D182)+$C$177</f>
        <v>1</v>
      </c>
      <c r="AI182" s="413" t="b">
        <f t="shared" si="61"/>
        <v>0</v>
      </c>
      <c r="AJ182" s="251">
        <f t="shared" si="62"/>
        <v>53.779595</v>
      </c>
      <c r="AK182" s="344">
        <f t="shared" si="77"/>
        <v>0.8067499259590819</v>
      </c>
      <c r="AL182" s="252">
        <f t="shared" si="63"/>
        <v>334.49997885066585</v>
      </c>
      <c r="AM182" s="251">
        <f t="shared" si="64"/>
        <v>59.291088500000001</v>
      </c>
      <c r="AN182" s="345">
        <f t="shared" si="65"/>
        <v>0.85977285389573432</v>
      </c>
      <c r="AO182" s="253">
        <f t="shared" si="66"/>
        <v>412.49502763654965</v>
      </c>
      <c r="AP182" s="416">
        <f t="shared" si="49"/>
        <v>-28.846138305372101</v>
      </c>
      <c r="AQ182" s="944">
        <f t="shared" si="67"/>
        <v>-288</v>
      </c>
      <c r="AR182" s="346">
        <f t="shared" si="50"/>
        <v>-227.7</v>
      </c>
      <c r="AS182" s="347">
        <f t="shared" si="68"/>
        <v>746.99500648721551</v>
      </c>
      <c r="AT182" s="348">
        <f t="shared" si="69"/>
        <v>-334.49997885066585</v>
      </c>
      <c r="AU182" s="349">
        <f t="shared" si="70"/>
        <v>305.65384054529375</v>
      </c>
      <c r="AV182" s="348"/>
      <c r="AW182" s="350">
        <f t="shared" si="71"/>
        <v>-134.53019446214392</v>
      </c>
      <c r="AX182" s="350">
        <f t="shared" si="72"/>
        <v>-93.169805537856035</v>
      </c>
      <c r="AY182" s="351">
        <f t="shared" si="51"/>
        <v>-86.225995928848363</v>
      </c>
      <c r="AZ182" s="351">
        <f t="shared" si="73"/>
        <v>-124.50385543937598</v>
      </c>
      <c r="BA182" s="354">
        <f t="shared" si="74"/>
        <v>86.225995928848363</v>
      </c>
      <c r="BB182" s="354">
        <f t="shared" si="74"/>
        <v>124.50385543937598</v>
      </c>
      <c r="BD182" s="119"/>
      <c r="BE182" s="260">
        <v>13</v>
      </c>
      <c r="BF182" s="261">
        <f t="shared" si="45"/>
        <v>43</v>
      </c>
      <c r="BG182" s="31">
        <f t="shared" si="46"/>
        <v>43</v>
      </c>
      <c r="BH182" s="263">
        <f t="shared" si="42"/>
        <v>-184.31010752822382</v>
      </c>
      <c r="BI182" s="264">
        <f t="shared" si="43"/>
        <v>184.31010752822382</v>
      </c>
      <c r="BJ182" s="264">
        <f t="shared" si="47"/>
        <v>12.310107528223824</v>
      </c>
      <c r="BK182" s="264" t="b">
        <f t="shared" si="44"/>
        <v>0</v>
      </c>
      <c r="BL182" s="266">
        <v>13</v>
      </c>
      <c r="BM182" s="197"/>
      <c r="BN182" s="197"/>
      <c r="BO182" s="197"/>
      <c r="EK182" s="62"/>
      <c r="EL182" s="62"/>
    </row>
    <row r="183" spans="2:142" ht="23" thickBot="1" x14ac:dyDescent="0.35">
      <c r="B183" s="244">
        <v>7</v>
      </c>
      <c r="C183" s="245"/>
      <c r="D183" s="16">
        <v>0</v>
      </c>
      <c r="E183" s="246" t="s">
        <v>72</v>
      </c>
      <c r="F183" s="235"/>
      <c r="G183" s="235"/>
      <c r="H183" s="403">
        <v>479.77208100000001</v>
      </c>
      <c r="I183" s="404">
        <v>61.416098300000002</v>
      </c>
      <c r="J183" s="374">
        <f t="shared" si="75"/>
        <v>61.416098300000002</v>
      </c>
      <c r="K183" s="374">
        <f t="shared" si="52"/>
        <v>30.708049150000001</v>
      </c>
      <c r="L183" s="374">
        <f t="shared" si="53"/>
        <v>0.51066370850547771</v>
      </c>
      <c r="M183" s="374">
        <f t="shared" si="54"/>
        <v>245.00219012085046</v>
      </c>
      <c r="N183" s="374">
        <f t="shared" si="55"/>
        <v>490.00438024170091</v>
      </c>
      <c r="O183" s="374">
        <f>+C177+D178+D179+D180+D181+D182+(D183/2)</f>
        <v>1</v>
      </c>
      <c r="P183" s="374">
        <f t="shared" si="56"/>
        <v>1.7452406437283494E-2</v>
      </c>
      <c r="Q183" s="374">
        <f t="shared" si="57"/>
        <v>8.55175560002737</v>
      </c>
      <c r="R183" s="374">
        <f t="shared" si="58"/>
        <v>381.48360292826789</v>
      </c>
      <c r="S183" s="374">
        <f t="shared" si="76"/>
        <v>390.03535852829526</v>
      </c>
      <c r="T183" s="375">
        <f t="shared" si="48"/>
        <v>390.03535852829526</v>
      </c>
      <c r="V183" s="340">
        <f t="shared" si="59"/>
        <v>0</v>
      </c>
      <c r="W183" s="340"/>
      <c r="X183" s="340"/>
      <c r="Y183" s="340"/>
      <c r="Z183" s="340"/>
      <c r="AA183" s="340"/>
      <c r="AB183" s="376"/>
      <c r="AC183" s="411" t="b">
        <f>IF(AD183=7,AF183)</f>
        <v>0</v>
      </c>
      <c r="AD183" s="411">
        <f t="shared" si="60"/>
        <v>1</v>
      </c>
      <c r="AE183" s="411">
        <f>IF(V183=0,0,7)</f>
        <v>0</v>
      </c>
      <c r="AF183" s="340">
        <f>SUM(V183:V188)/($B$174-B182)</f>
        <v>0</v>
      </c>
      <c r="AG183" s="340"/>
      <c r="AH183" s="353">
        <f>SUM(D178:D183)+$C$177</f>
        <v>1</v>
      </c>
      <c r="AI183" s="413" t="b">
        <f t="shared" si="61"/>
        <v>0</v>
      </c>
      <c r="AJ183" s="251">
        <f t="shared" si="62"/>
        <v>53.779595</v>
      </c>
      <c r="AK183" s="344">
        <f t="shared" si="77"/>
        <v>0.8067499259590819</v>
      </c>
      <c r="AL183" s="252">
        <f t="shared" si="63"/>
        <v>334.49997885066585</v>
      </c>
      <c r="AM183" s="251">
        <f t="shared" si="64"/>
        <v>59.291088500000001</v>
      </c>
      <c r="AN183" s="345">
        <f t="shared" si="65"/>
        <v>0.85977285389573432</v>
      </c>
      <c r="AO183" s="253">
        <f t="shared" si="66"/>
        <v>412.49502763654965</v>
      </c>
      <c r="AP183" s="416">
        <f t="shared" si="49"/>
        <v>-21.916135108886312</v>
      </c>
      <c r="AQ183" s="944">
        <f t="shared" si="67"/>
        <v>-360</v>
      </c>
      <c r="AR183" s="346">
        <f t="shared" si="50"/>
        <v>-299.7</v>
      </c>
      <c r="AS183" s="347">
        <f t="shared" si="68"/>
        <v>746.99500648721551</v>
      </c>
      <c r="AT183" s="348">
        <f t="shared" si="69"/>
        <v>-334.49997885066585</v>
      </c>
      <c r="AU183" s="349">
        <f t="shared" si="70"/>
        <v>312.58384374177956</v>
      </c>
      <c r="AV183" s="348"/>
      <c r="AW183" s="350">
        <f t="shared" si="71"/>
        <v>-174.28901712080634</v>
      </c>
      <c r="AX183" s="350">
        <f t="shared" si="72"/>
        <v>-125.41098287919364</v>
      </c>
      <c r="AY183" s="351">
        <f t="shared" si="51"/>
        <v>-66.556115764653143</v>
      </c>
      <c r="AZ183" s="351">
        <f t="shared" si="73"/>
        <v>-92.495886195024013</v>
      </c>
      <c r="BA183" s="354">
        <f t="shared" si="74"/>
        <v>66.556115764653143</v>
      </c>
      <c r="BB183" s="354">
        <f t="shared" si="74"/>
        <v>92.495886195024013</v>
      </c>
      <c r="BD183" s="119"/>
      <c r="BE183" s="260">
        <v>14</v>
      </c>
      <c r="BF183" s="261">
        <f t="shared" si="45"/>
        <v>86</v>
      </c>
      <c r="BG183" s="31">
        <f t="shared" si="46"/>
        <v>86</v>
      </c>
      <c r="BH183" s="263">
        <f t="shared" si="42"/>
        <v>-141.31010752822382</v>
      </c>
      <c r="BI183" s="264">
        <f t="shared" si="43"/>
        <v>141.31010752822382</v>
      </c>
      <c r="BJ183" s="264">
        <f t="shared" si="47"/>
        <v>12.310107528223824</v>
      </c>
      <c r="BK183" s="264" t="b">
        <f t="shared" si="44"/>
        <v>0</v>
      </c>
      <c r="BL183" s="266">
        <v>14</v>
      </c>
      <c r="EK183" s="62"/>
      <c r="EL183" s="62"/>
    </row>
    <row r="184" spans="2:142" ht="23" thickBot="1" x14ac:dyDescent="0.35">
      <c r="B184" s="244">
        <v>8</v>
      </c>
      <c r="C184" s="245"/>
      <c r="D184" s="16">
        <v>0</v>
      </c>
      <c r="E184" s="246" t="s">
        <v>72</v>
      </c>
      <c r="F184" s="235"/>
      <c r="G184" s="235"/>
      <c r="H184" s="403">
        <v>479.77208100000001</v>
      </c>
      <c r="I184" s="404">
        <v>61.416098300000002</v>
      </c>
      <c r="J184" s="374">
        <f t="shared" si="75"/>
        <v>61.416098300000002</v>
      </c>
      <c r="K184" s="374">
        <f t="shared" si="52"/>
        <v>30.708049150000001</v>
      </c>
      <c r="L184" s="374">
        <f t="shared" si="53"/>
        <v>0.51066370850547771</v>
      </c>
      <c r="M184" s="374">
        <f t="shared" si="54"/>
        <v>245.00219012085046</v>
      </c>
      <c r="N184" s="374">
        <f t="shared" si="55"/>
        <v>490.00438024170091</v>
      </c>
      <c r="O184" s="374">
        <f>+C177+D178+D179+D180+D181+D182+D183+(D184/2)</f>
        <v>1</v>
      </c>
      <c r="P184" s="374">
        <f t="shared" si="56"/>
        <v>1.7452406437283494E-2</v>
      </c>
      <c r="Q184" s="374">
        <f t="shared" si="57"/>
        <v>8.55175560002737</v>
      </c>
      <c r="R184" s="374">
        <f t="shared" si="58"/>
        <v>390.03535852829526</v>
      </c>
      <c r="S184" s="374">
        <f t="shared" si="76"/>
        <v>398.58711412832264</v>
      </c>
      <c r="T184" s="375">
        <f t="shared" si="48"/>
        <v>398.58711412832264</v>
      </c>
      <c r="V184" s="340">
        <f t="shared" si="59"/>
        <v>0</v>
      </c>
      <c r="W184" s="340"/>
      <c r="X184" s="340"/>
      <c r="Y184" s="340"/>
      <c r="Z184" s="340"/>
      <c r="AA184" s="340"/>
      <c r="AB184" s="376"/>
      <c r="AC184" s="411" t="b">
        <f>IF(AD184=8,AF184)</f>
        <v>0</v>
      </c>
      <c r="AD184" s="411">
        <f t="shared" si="60"/>
        <v>1</v>
      </c>
      <c r="AE184" s="411">
        <f>IF(V184=0,0,8)</f>
        <v>0</v>
      </c>
      <c r="AF184" s="340">
        <f>SUM(V184:V188)/($B$174-B183)</f>
        <v>0</v>
      </c>
      <c r="AG184" s="340"/>
      <c r="AH184" s="353">
        <f>SUM(D178:D184)+$C$177</f>
        <v>1</v>
      </c>
      <c r="AI184" s="413" t="b">
        <f t="shared" si="61"/>
        <v>0</v>
      </c>
      <c r="AJ184" s="251">
        <f t="shared" si="62"/>
        <v>53.779595</v>
      </c>
      <c r="AK184" s="344">
        <f t="shared" si="77"/>
        <v>0.8067499259590819</v>
      </c>
      <c r="AL184" s="252">
        <f t="shared" si="63"/>
        <v>334.49997885066585</v>
      </c>
      <c r="AM184" s="251">
        <f t="shared" si="64"/>
        <v>59.291088500000001</v>
      </c>
      <c r="AN184" s="345">
        <f t="shared" si="65"/>
        <v>0.85977285389573432</v>
      </c>
      <c r="AO184" s="253">
        <f t="shared" si="66"/>
        <v>412.49502763654965</v>
      </c>
      <c r="AP184" s="416">
        <f t="shared" si="49"/>
        <v>-17.670878913460392</v>
      </c>
      <c r="AQ184" s="944">
        <f t="shared" si="67"/>
        <v>-432</v>
      </c>
      <c r="AR184" s="346">
        <f t="shared" si="50"/>
        <v>-371.7</v>
      </c>
      <c r="AS184" s="347">
        <f t="shared" si="68"/>
        <v>746.99500648721551</v>
      </c>
      <c r="AT184" s="348">
        <f t="shared" si="69"/>
        <v>-334.49997885066585</v>
      </c>
      <c r="AU184" s="349">
        <f t="shared" si="70"/>
        <v>316.82909993720546</v>
      </c>
      <c r="AV184" s="348"/>
      <c r="AW184" s="350">
        <f t="shared" si="71"/>
        <v>-214.04783977946877</v>
      </c>
      <c r="AX184" s="350">
        <f t="shared" si="72"/>
        <v>-157.65216022053124</v>
      </c>
      <c r="AY184" s="351">
        <f t="shared" si="51"/>
        <v>-54.193492501262135</v>
      </c>
      <c r="AZ184" s="351">
        <f t="shared" si="73"/>
        <v>-73.57970854172487</v>
      </c>
      <c r="BA184" s="354">
        <f t="shared" si="74"/>
        <v>54.193492501262135</v>
      </c>
      <c r="BB184" s="354">
        <f t="shared" si="74"/>
        <v>73.57970854172487</v>
      </c>
      <c r="BD184" s="119"/>
      <c r="BE184" s="260">
        <v>15</v>
      </c>
      <c r="BF184" s="261">
        <f t="shared" si="45"/>
        <v>129</v>
      </c>
      <c r="BG184" s="31">
        <f t="shared" si="46"/>
        <v>129</v>
      </c>
      <c r="BH184" s="263">
        <f t="shared" si="42"/>
        <v>-98.310107528223824</v>
      </c>
      <c r="BI184" s="264">
        <f t="shared" si="43"/>
        <v>98.310107528223824</v>
      </c>
      <c r="BJ184" s="264">
        <f t="shared" si="47"/>
        <v>12.310107528223824</v>
      </c>
      <c r="BK184" s="264" t="b">
        <f t="shared" si="44"/>
        <v>0</v>
      </c>
      <c r="BL184" s="266">
        <v>15</v>
      </c>
      <c r="EK184" s="62"/>
      <c r="EL184" s="62"/>
    </row>
    <row r="185" spans="2:142" ht="23" thickBot="1" x14ac:dyDescent="0.35">
      <c r="B185" s="244">
        <v>9</v>
      </c>
      <c r="C185" s="245"/>
      <c r="D185" s="16">
        <v>0</v>
      </c>
      <c r="E185" s="246" t="s">
        <v>72</v>
      </c>
      <c r="F185" s="235"/>
      <c r="G185" s="235"/>
      <c r="H185" s="403">
        <v>479.77208100000001</v>
      </c>
      <c r="I185" s="404">
        <v>61.416098300000002</v>
      </c>
      <c r="J185" s="374">
        <f t="shared" si="75"/>
        <v>61.416098300000002</v>
      </c>
      <c r="K185" s="374">
        <f t="shared" si="52"/>
        <v>30.708049150000001</v>
      </c>
      <c r="L185" s="374">
        <f t="shared" si="53"/>
        <v>0.51066370850547771</v>
      </c>
      <c r="M185" s="374">
        <f t="shared" si="54"/>
        <v>245.00219012085046</v>
      </c>
      <c r="N185" s="374">
        <f t="shared" si="55"/>
        <v>490.00438024170091</v>
      </c>
      <c r="O185" s="374">
        <f>+C177+D178+D179+D180+D181+D182+D183+D184+(D185/2)</f>
        <v>1</v>
      </c>
      <c r="P185" s="374">
        <f t="shared" si="56"/>
        <v>1.7452406437283494E-2</v>
      </c>
      <c r="Q185" s="374">
        <f t="shared" si="57"/>
        <v>8.55175560002737</v>
      </c>
      <c r="R185" s="374">
        <f t="shared" si="58"/>
        <v>398.58711412832264</v>
      </c>
      <c r="S185" s="374">
        <f t="shared" si="76"/>
        <v>407.13886972835002</v>
      </c>
      <c r="T185" s="375">
        <f t="shared" si="48"/>
        <v>407.13886972835002</v>
      </c>
      <c r="V185" s="340">
        <f t="shared" si="59"/>
        <v>0</v>
      </c>
      <c r="W185" s="340"/>
      <c r="X185" s="340"/>
      <c r="Y185" s="340"/>
      <c r="Z185" s="340"/>
      <c r="AA185" s="340"/>
      <c r="AB185" s="376"/>
      <c r="AC185" s="411" t="b">
        <f>IF(AD185=9,AF185)</f>
        <v>0</v>
      </c>
      <c r="AD185" s="411">
        <f t="shared" si="60"/>
        <v>1</v>
      </c>
      <c r="AE185" s="411">
        <f>IF(V185=0,0,9)</f>
        <v>0</v>
      </c>
      <c r="AF185" s="340">
        <f>SUM(V185:V188)/($B$174-B184)</f>
        <v>0</v>
      </c>
      <c r="AG185" s="340"/>
      <c r="AH185" s="353">
        <f>SUM(D178:D185)+$C$177</f>
        <v>1</v>
      </c>
      <c r="AI185" s="413" t="b">
        <f t="shared" si="61"/>
        <v>0</v>
      </c>
      <c r="AJ185" s="251">
        <f t="shared" si="62"/>
        <v>53.779595</v>
      </c>
      <c r="AK185" s="344">
        <f t="shared" si="77"/>
        <v>0.8067499259590819</v>
      </c>
      <c r="AL185" s="252">
        <f t="shared" si="63"/>
        <v>334.49997885066585</v>
      </c>
      <c r="AM185" s="251">
        <f t="shared" si="64"/>
        <v>59.291088500000001</v>
      </c>
      <c r="AN185" s="345">
        <f t="shared" si="65"/>
        <v>0.85977285389573432</v>
      </c>
      <c r="AO185" s="253">
        <f t="shared" si="66"/>
        <v>412.49502763654965</v>
      </c>
      <c r="AP185" s="416">
        <f t="shared" si="49"/>
        <v>-14.803393491397854</v>
      </c>
      <c r="AQ185" s="944">
        <f t="shared" si="67"/>
        <v>-504</v>
      </c>
      <c r="AR185" s="346">
        <f t="shared" si="50"/>
        <v>-443.7</v>
      </c>
      <c r="AS185" s="347">
        <f t="shared" si="68"/>
        <v>746.99500648721551</v>
      </c>
      <c r="AT185" s="348">
        <f t="shared" si="69"/>
        <v>-334.49997885066585</v>
      </c>
      <c r="AU185" s="349">
        <f t="shared" si="70"/>
        <v>319.696585359268</v>
      </c>
      <c r="AV185" s="348"/>
      <c r="AW185" s="350">
        <f t="shared" si="71"/>
        <v>-253.80666243813116</v>
      </c>
      <c r="AX185" s="350">
        <f t="shared" si="72"/>
        <v>-189.8933375618688</v>
      </c>
      <c r="AY185" s="351">
        <f t="shared" si="51"/>
        <v>-45.704079981854925</v>
      </c>
      <c r="AZ185" s="351">
        <f t="shared" si="73"/>
        <v>-61.086924633259578</v>
      </c>
      <c r="BA185" s="354">
        <f t="shared" si="74"/>
        <v>45.704079981854925</v>
      </c>
      <c r="BB185" s="354">
        <f t="shared" si="74"/>
        <v>61.086924633259578</v>
      </c>
      <c r="BD185" s="119"/>
      <c r="BE185" s="260">
        <v>16</v>
      </c>
      <c r="BF185" s="261">
        <f t="shared" si="45"/>
        <v>172</v>
      </c>
      <c r="BG185" s="31">
        <f t="shared" si="46"/>
        <v>172</v>
      </c>
      <c r="BH185" s="263">
        <f t="shared" si="42"/>
        <v>-55.310107528223824</v>
      </c>
      <c r="BI185" s="264">
        <f t="shared" si="43"/>
        <v>55.310107528223824</v>
      </c>
      <c r="BJ185" s="264">
        <f t="shared" si="47"/>
        <v>12.310107528223824</v>
      </c>
      <c r="BK185" s="264" t="b">
        <f t="shared" si="44"/>
        <v>0</v>
      </c>
      <c r="BL185" s="266">
        <v>16</v>
      </c>
      <c r="EK185" s="62"/>
      <c r="EL185" s="62"/>
    </row>
    <row r="186" spans="2:142" ht="23" thickBot="1" x14ac:dyDescent="0.35">
      <c r="B186" s="244">
        <v>10</v>
      </c>
      <c r="C186" s="245"/>
      <c r="D186" s="16">
        <v>0</v>
      </c>
      <c r="E186" s="246" t="s">
        <v>72</v>
      </c>
      <c r="F186" s="235"/>
      <c r="G186" s="235"/>
      <c r="H186" s="403">
        <v>479.77208100000001</v>
      </c>
      <c r="I186" s="404">
        <v>61.416098300000002</v>
      </c>
      <c r="J186" s="374">
        <f t="shared" si="75"/>
        <v>61.416098300000002</v>
      </c>
      <c r="K186" s="374">
        <f t="shared" si="52"/>
        <v>30.708049150000001</v>
      </c>
      <c r="L186" s="374">
        <f t="shared" si="53"/>
        <v>0.51066370850547771</v>
      </c>
      <c r="M186" s="374">
        <f>+L186*H186</f>
        <v>245.00219012085046</v>
      </c>
      <c r="N186" s="374">
        <f t="shared" si="55"/>
        <v>490.00438024170091</v>
      </c>
      <c r="O186" s="374">
        <f>+C177+D178+D179+D180+D181+D182+D183+D184+D185+(D186/2)</f>
        <v>1</v>
      </c>
      <c r="P186" s="374">
        <f t="shared" si="56"/>
        <v>1.7452406437283494E-2</v>
      </c>
      <c r="Q186" s="374">
        <f t="shared" si="57"/>
        <v>8.55175560002737</v>
      </c>
      <c r="R186" s="374">
        <f t="shared" si="58"/>
        <v>407.13886972835002</v>
      </c>
      <c r="S186" s="374">
        <f t="shared" si="76"/>
        <v>415.69062532837739</v>
      </c>
      <c r="T186" s="375">
        <f t="shared" si="48"/>
        <v>415.69062532837739</v>
      </c>
      <c r="V186" s="340">
        <f t="shared" si="59"/>
        <v>0</v>
      </c>
      <c r="W186" s="340"/>
      <c r="X186" s="340"/>
      <c r="Y186" s="340"/>
      <c r="Z186" s="340"/>
      <c r="AA186" s="340"/>
      <c r="AB186" s="376"/>
      <c r="AC186" s="411" t="b">
        <f>IF(AD186=10,AF186)</f>
        <v>0</v>
      </c>
      <c r="AD186" s="411">
        <f t="shared" si="60"/>
        <v>1</v>
      </c>
      <c r="AE186" s="411">
        <f>IF(V186=0,0,10)</f>
        <v>0</v>
      </c>
      <c r="AF186" s="340">
        <f>SUM(V186:V188)/($B$174-B185)</f>
        <v>0</v>
      </c>
      <c r="AG186" s="340"/>
      <c r="AH186" s="353">
        <f>SUM(D178:D186)+$C$177</f>
        <v>1</v>
      </c>
      <c r="AI186" s="413" t="b">
        <f t="shared" si="61"/>
        <v>0</v>
      </c>
      <c r="AJ186" s="251">
        <f t="shared" si="62"/>
        <v>53.779595</v>
      </c>
      <c r="AK186" s="344">
        <f t="shared" si="77"/>
        <v>0.8067499259590819</v>
      </c>
      <c r="AL186" s="252">
        <f t="shared" si="63"/>
        <v>334.49997885066585</v>
      </c>
      <c r="AM186" s="251">
        <f t="shared" si="64"/>
        <v>59.291088500000001</v>
      </c>
      <c r="AN186" s="345">
        <f t="shared" si="65"/>
        <v>0.85977285389573432</v>
      </c>
      <c r="AO186" s="253">
        <f t="shared" si="66"/>
        <v>412.49502763654965</v>
      </c>
      <c r="AP186" s="416">
        <f t="shared" si="49"/>
        <v>-12.736602078986284</v>
      </c>
      <c r="AQ186" s="944">
        <f t="shared" si="67"/>
        <v>-576</v>
      </c>
      <c r="AR186" s="346">
        <f t="shared" si="50"/>
        <v>-515.70000000000005</v>
      </c>
      <c r="AS186" s="347">
        <f t="shared" si="68"/>
        <v>746.99500648721551</v>
      </c>
      <c r="AT186" s="348">
        <f t="shared" si="69"/>
        <v>-334.49997885066585</v>
      </c>
      <c r="AU186" s="349">
        <f t="shared" si="70"/>
        <v>321.76337677167959</v>
      </c>
      <c r="AV186" s="348"/>
      <c r="AW186" s="350">
        <f t="shared" si="71"/>
        <v>-293.56548509679357</v>
      </c>
      <c r="AX186" s="350">
        <f t="shared" si="72"/>
        <v>-222.13451490320645</v>
      </c>
      <c r="AY186" s="351">
        <f t="shared" si="51"/>
        <v>-39.514181976042863</v>
      </c>
      <c r="AZ186" s="351">
        <f t="shared" si="73"/>
        <v>-52.220610583882554</v>
      </c>
      <c r="BA186" s="354">
        <f t="shared" si="74"/>
        <v>39.514181976042863</v>
      </c>
      <c r="BB186" s="354">
        <f t="shared" si="74"/>
        <v>52.220610583882554</v>
      </c>
      <c r="BD186" s="119"/>
      <c r="BE186" s="260">
        <v>17</v>
      </c>
      <c r="BF186" s="261">
        <f t="shared" si="45"/>
        <v>215</v>
      </c>
      <c r="BG186" s="31">
        <f t="shared" si="46"/>
        <v>215</v>
      </c>
      <c r="BH186" s="263">
        <f t="shared" si="42"/>
        <v>-12.310107528223824</v>
      </c>
      <c r="BI186" s="264">
        <f t="shared" si="43"/>
        <v>12.310107528223824</v>
      </c>
      <c r="BJ186" s="264">
        <f t="shared" si="47"/>
        <v>12.310107528223824</v>
      </c>
      <c r="BK186" s="264">
        <f t="shared" si="44"/>
        <v>17</v>
      </c>
      <c r="BL186" s="266">
        <v>17</v>
      </c>
      <c r="EK186" s="62"/>
      <c r="EL186" s="62"/>
    </row>
    <row r="187" spans="2:142" ht="23" hidden="1" thickBot="1" x14ac:dyDescent="0.35">
      <c r="B187" s="244">
        <v>11</v>
      </c>
      <c r="C187" s="245"/>
      <c r="D187" s="16">
        <v>0</v>
      </c>
      <c r="E187" s="246" t="s">
        <v>72</v>
      </c>
      <c r="F187" s="235"/>
      <c r="G187" s="235"/>
      <c r="H187" s="403">
        <v>479.77208100000001</v>
      </c>
      <c r="I187" s="404">
        <v>61.416098300000002</v>
      </c>
      <c r="J187" s="374">
        <f t="shared" si="75"/>
        <v>61.416098300000002</v>
      </c>
      <c r="K187" s="374">
        <f t="shared" si="52"/>
        <v>30.708049150000001</v>
      </c>
      <c r="L187" s="374">
        <f t="shared" si="53"/>
        <v>0.51066370850547771</v>
      </c>
      <c r="M187" s="374">
        <f t="shared" si="54"/>
        <v>245.00219012085046</v>
      </c>
      <c r="N187" s="374">
        <f t="shared" si="55"/>
        <v>490.00438024170091</v>
      </c>
      <c r="O187" s="374">
        <f>+C177+D178+D179+D180+D181+D182+D183+D184+D185+D186+(D187/2)</f>
        <v>1</v>
      </c>
      <c r="P187" s="374">
        <f t="shared" si="56"/>
        <v>1.7452406437283494E-2</v>
      </c>
      <c r="Q187" s="374">
        <f t="shared" si="57"/>
        <v>8.55175560002737</v>
      </c>
      <c r="R187" s="374">
        <f t="shared" si="58"/>
        <v>415.69062532837739</v>
      </c>
      <c r="S187" s="374">
        <f t="shared" si="76"/>
        <v>424.24238092840477</v>
      </c>
      <c r="T187" s="375">
        <f t="shared" si="48"/>
        <v>424.24238092840477</v>
      </c>
      <c r="V187" s="340">
        <f t="shared" si="59"/>
        <v>0</v>
      </c>
      <c r="W187" s="340"/>
      <c r="X187" s="340"/>
      <c r="Y187" s="340"/>
      <c r="Z187" s="340"/>
      <c r="AA187" s="340"/>
      <c r="AB187" s="376"/>
      <c r="AC187" s="411" t="b">
        <f>IF(AD187=11,AF187)</f>
        <v>0</v>
      </c>
      <c r="AD187" s="411">
        <f t="shared" si="60"/>
        <v>1</v>
      </c>
      <c r="AE187" s="411">
        <f>IF(V187=0,0,11)</f>
        <v>0</v>
      </c>
      <c r="AF187" s="340">
        <f>SUM(V187:V188)/($B$174-B186)</f>
        <v>0</v>
      </c>
      <c r="AG187" s="340"/>
      <c r="AH187" s="353">
        <f>SUM(D178:D187)+$C$177</f>
        <v>1</v>
      </c>
      <c r="AI187" s="413" t="b">
        <f t="shared" si="61"/>
        <v>0</v>
      </c>
      <c r="AJ187" s="251">
        <f t="shared" si="62"/>
        <v>53.779595</v>
      </c>
      <c r="AK187" s="344">
        <f t="shared" si="77"/>
        <v>0.8067499259590819</v>
      </c>
      <c r="AL187" s="252">
        <f t="shared" si="63"/>
        <v>334.49997885066585</v>
      </c>
      <c r="AM187" s="251">
        <f t="shared" si="64"/>
        <v>59.291088500000001</v>
      </c>
      <c r="AN187" s="345">
        <f t="shared" si="65"/>
        <v>0.85977285389573432</v>
      </c>
      <c r="AO187" s="253">
        <f t="shared" si="66"/>
        <v>412.49502763654965</v>
      </c>
      <c r="AP187" s="416">
        <f t="shared" si="49"/>
        <v>-11.176222038681686</v>
      </c>
      <c r="AQ187" s="944">
        <f t="shared" si="67"/>
        <v>-648</v>
      </c>
      <c r="AR187" s="346">
        <f t="shared" si="50"/>
        <v>-587.70000000000005</v>
      </c>
      <c r="AS187" s="347">
        <f t="shared" si="68"/>
        <v>746.99500648721551</v>
      </c>
      <c r="AT187" s="348">
        <f t="shared" si="69"/>
        <v>-334.49997885066585</v>
      </c>
      <c r="AU187" s="349">
        <f t="shared" si="70"/>
        <v>323.32375681198414</v>
      </c>
      <c r="AV187" s="348"/>
      <c r="AW187" s="350">
        <f t="shared" si="71"/>
        <v>-333.324307755456</v>
      </c>
      <c r="AX187" s="350">
        <f t="shared" si="72"/>
        <v>-254.37569224454401</v>
      </c>
      <c r="AY187" s="351">
        <f t="shared" si="51"/>
        <v>-34.800942295844685</v>
      </c>
      <c r="AZ187" s="351">
        <f t="shared" si="73"/>
        <v>-45.601841503190258</v>
      </c>
      <c r="BA187" s="354">
        <f t="shared" si="74"/>
        <v>34.800942295844685</v>
      </c>
      <c r="BB187" s="354">
        <f t="shared" si="74"/>
        <v>45.601841503190258</v>
      </c>
      <c r="BD187" s="119"/>
      <c r="BE187" s="260">
        <v>18</v>
      </c>
      <c r="BF187" s="261">
        <f t="shared" si="45"/>
        <v>258</v>
      </c>
      <c r="BG187" s="31">
        <f t="shared" si="46"/>
        <v>258</v>
      </c>
      <c r="BH187" s="263">
        <f t="shared" si="42"/>
        <v>30.689892471776176</v>
      </c>
      <c r="BI187" s="264">
        <f t="shared" si="43"/>
        <v>30.689892471776176</v>
      </c>
      <c r="BJ187" s="264">
        <f t="shared" si="47"/>
        <v>12.310107528223824</v>
      </c>
      <c r="BK187" s="264" t="b">
        <f t="shared" si="44"/>
        <v>0</v>
      </c>
      <c r="BL187" s="266">
        <v>18</v>
      </c>
      <c r="EK187" s="62"/>
      <c r="EL187" s="62"/>
    </row>
    <row r="188" spans="2:142" ht="23" hidden="1" thickBot="1" x14ac:dyDescent="0.35">
      <c r="B188" s="244">
        <v>12</v>
      </c>
      <c r="C188" s="245"/>
      <c r="D188" s="16">
        <v>0</v>
      </c>
      <c r="E188" s="246" t="s">
        <v>72</v>
      </c>
      <c r="F188" s="235"/>
      <c r="G188" s="235"/>
      <c r="H188" s="403">
        <v>479.77208100000001</v>
      </c>
      <c r="I188" s="404">
        <v>61.416098300000002</v>
      </c>
      <c r="J188" s="374">
        <f t="shared" si="75"/>
        <v>61.416098300000002</v>
      </c>
      <c r="K188" s="374">
        <f t="shared" si="52"/>
        <v>30.708049150000001</v>
      </c>
      <c r="L188" s="374">
        <f t="shared" si="53"/>
        <v>0.51066370850547771</v>
      </c>
      <c r="M188" s="374">
        <f t="shared" si="54"/>
        <v>245.00219012085046</v>
      </c>
      <c r="N188" s="374">
        <f t="shared" si="55"/>
        <v>490.00438024170091</v>
      </c>
      <c r="O188" s="374">
        <f>+C177+D178+D179+D180+D181+D182+D183+D184+D185+D186+D187+(D188/2)</f>
        <v>1</v>
      </c>
      <c r="P188" s="374">
        <f t="shared" si="56"/>
        <v>1.7452406437283494E-2</v>
      </c>
      <c r="Q188" s="374">
        <f t="shared" si="57"/>
        <v>8.55175560002737</v>
      </c>
      <c r="R188" s="374">
        <f t="shared" si="58"/>
        <v>424.24238092840477</v>
      </c>
      <c r="S188" s="374">
        <f t="shared" si="76"/>
        <v>432.79413652843215</v>
      </c>
      <c r="T188" s="375">
        <f t="shared" si="48"/>
        <v>432.79413652843215</v>
      </c>
      <c r="V188" s="340">
        <f t="shared" si="59"/>
        <v>0</v>
      </c>
      <c r="W188" s="340"/>
      <c r="X188" s="340"/>
      <c r="Y188" s="340"/>
      <c r="Z188" s="340"/>
      <c r="AA188" s="340"/>
      <c r="AB188" s="376"/>
      <c r="AC188" s="411" t="b">
        <f>IF(AD188=12,AF188)</f>
        <v>0</v>
      </c>
      <c r="AD188" s="411">
        <f t="shared" si="60"/>
        <v>1</v>
      </c>
      <c r="AE188" s="411">
        <f>IF(V188=0,0,12)</f>
        <v>0</v>
      </c>
      <c r="AF188" s="340">
        <f>SUM(V188)/($B$174-B187)</f>
        <v>0</v>
      </c>
      <c r="AG188" s="340"/>
      <c r="AH188" s="353">
        <f>SUM(D178:D188)+$C$177</f>
        <v>1</v>
      </c>
      <c r="AI188" s="413" t="b">
        <f t="shared" si="61"/>
        <v>0</v>
      </c>
      <c r="AJ188" s="251">
        <f t="shared" si="62"/>
        <v>53.779595</v>
      </c>
      <c r="AK188" s="344">
        <f t="shared" si="77"/>
        <v>0.8067499259590819</v>
      </c>
      <c r="AL188" s="252">
        <f t="shared" si="63"/>
        <v>334.49997885066585</v>
      </c>
      <c r="AM188" s="251">
        <f t="shared" si="64"/>
        <v>59.291088500000001</v>
      </c>
      <c r="AN188" s="345">
        <f t="shared" si="65"/>
        <v>0.85977285389573432</v>
      </c>
      <c r="AO188" s="253">
        <f t="shared" si="66"/>
        <v>412.49502763654965</v>
      </c>
      <c r="AP188" s="416">
        <f t="shared" si="49"/>
        <v>-9.9564433714312965</v>
      </c>
      <c r="AQ188" s="944">
        <f t="shared" si="67"/>
        <v>-720</v>
      </c>
      <c r="AR188" s="346">
        <f t="shared" si="50"/>
        <v>-659.7</v>
      </c>
      <c r="AS188" s="347">
        <f t="shared" si="68"/>
        <v>746.99500648721551</v>
      </c>
      <c r="AT188" s="348">
        <f t="shared" si="69"/>
        <v>-334.49997885066585</v>
      </c>
      <c r="AU188" s="349">
        <f t="shared" si="70"/>
        <v>324.54353547923455</v>
      </c>
      <c r="AV188" s="348"/>
      <c r="AW188" s="350">
        <f t="shared" si="71"/>
        <v>-373.08313041411839</v>
      </c>
      <c r="AX188" s="350">
        <f t="shared" si="72"/>
        <v>-286.6168695858816</v>
      </c>
      <c r="AY188" s="351">
        <f t="shared" si="51"/>
        <v>-31.092266185083524</v>
      </c>
      <c r="AZ188" s="351">
        <f t="shared" si="73"/>
        <v>-40.472146725907166</v>
      </c>
      <c r="BA188" s="354">
        <f t="shared" si="74"/>
        <v>31.092266185083524</v>
      </c>
      <c r="BB188" s="354">
        <f t="shared" si="74"/>
        <v>40.472146725907166</v>
      </c>
      <c r="BD188" s="119"/>
      <c r="BE188" s="260">
        <v>19</v>
      </c>
      <c r="BF188" s="261">
        <f t="shared" si="45"/>
        <v>301</v>
      </c>
      <c r="BG188" s="31">
        <f t="shared" si="46"/>
        <v>301</v>
      </c>
      <c r="BH188" s="263">
        <f t="shared" si="42"/>
        <v>73.689892471776176</v>
      </c>
      <c r="BI188" s="264">
        <f t="shared" si="43"/>
        <v>73.689892471776176</v>
      </c>
      <c r="BJ188" s="264">
        <f t="shared" si="47"/>
        <v>12.310107528223824</v>
      </c>
      <c r="BK188" s="264" t="b">
        <f t="shared" si="44"/>
        <v>0</v>
      </c>
      <c r="BL188" s="266">
        <v>19</v>
      </c>
      <c r="EK188" s="62"/>
      <c r="EL188" s="62"/>
    </row>
    <row r="189" spans="2:142" ht="21.75" hidden="1" customHeight="1" x14ac:dyDescent="0.3">
      <c r="U189" s="243"/>
      <c r="AH189" s="432" t="s">
        <v>71</v>
      </c>
      <c r="AI189" s="433">
        <f>MAX(AI177:AI188)</f>
        <v>1</v>
      </c>
      <c r="BD189" s="119"/>
      <c r="BE189" s="260">
        <v>20</v>
      </c>
      <c r="BF189" s="261">
        <f t="shared" si="45"/>
        <v>344</v>
      </c>
      <c r="BG189" s="31">
        <f t="shared" si="46"/>
        <v>344</v>
      </c>
      <c r="BH189" s="263">
        <f t="shared" si="42"/>
        <v>116.68989247177618</v>
      </c>
      <c r="BI189" s="264">
        <f t="shared" si="43"/>
        <v>116.68989247177618</v>
      </c>
      <c r="BJ189" s="264">
        <f t="shared" si="47"/>
        <v>12.310107528223824</v>
      </c>
      <c r="BK189" s="264" t="b">
        <f t="shared" si="44"/>
        <v>0</v>
      </c>
      <c r="BL189" s="266">
        <v>20</v>
      </c>
      <c r="EK189" s="62"/>
      <c r="EL189" s="62"/>
    </row>
    <row r="190" spans="2:142" ht="27" hidden="1" thickBot="1" x14ac:dyDescent="0.35">
      <c r="B190" s="286"/>
      <c r="U190" s="243"/>
      <c r="AL190" s="686" t="s">
        <v>153</v>
      </c>
      <c r="AM190" s="687"/>
      <c r="AN190" s="687"/>
      <c r="AO190" s="687"/>
      <c r="AP190" s="688"/>
      <c r="BE190" s="260">
        <v>21</v>
      </c>
      <c r="BF190" s="261">
        <f t="shared" si="45"/>
        <v>387</v>
      </c>
      <c r="BG190" s="31">
        <f t="shared" si="46"/>
        <v>387</v>
      </c>
      <c r="BH190" s="263">
        <f t="shared" si="42"/>
        <v>159.68989247177618</v>
      </c>
      <c r="BI190" s="264">
        <f t="shared" si="43"/>
        <v>159.68989247177618</v>
      </c>
      <c r="BJ190" s="264">
        <f t="shared" si="47"/>
        <v>12.310107528223824</v>
      </c>
      <c r="BK190" s="264" t="b">
        <f t="shared" si="44"/>
        <v>0</v>
      </c>
      <c r="BL190" s="266">
        <v>21</v>
      </c>
    </row>
    <row r="191" spans="2:142" ht="50" hidden="1" thickBot="1" x14ac:dyDescent="0.35">
      <c r="B191" s="286"/>
      <c r="AB191" s="318"/>
      <c r="AC191" s="318"/>
      <c r="AD191" s="318"/>
      <c r="AE191" s="318"/>
      <c r="AH191" s="424" t="s">
        <v>71</v>
      </c>
      <c r="AI191" s="425">
        <f>MAX(AI177:AI189)</f>
        <v>1</v>
      </c>
      <c r="AL191" s="657" t="s">
        <v>129</v>
      </c>
      <c r="AM191" s="658" t="s">
        <v>130</v>
      </c>
      <c r="AN191" s="658" t="s">
        <v>131</v>
      </c>
      <c r="AO191" s="659" t="s">
        <v>135</v>
      </c>
      <c r="AP191" s="660"/>
      <c r="BE191" s="260">
        <v>22</v>
      </c>
      <c r="BF191" s="261">
        <f t="shared" si="45"/>
        <v>430</v>
      </c>
      <c r="BG191" s="31">
        <f t="shared" si="46"/>
        <v>430</v>
      </c>
      <c r="BH191" s="263">
        <f t="shared" si="42"/>
        <v>202.68989247177618</v>
      </c>
      <c r="BI191" s="264">
        <f t="shared" si="43"/>
        <v>202.68989247177618</v>
      </c>
      <c r="BJ191" s="264">
        <f t="shared" si="47"/>
        <v>12.310107528223824</v>
      </c>
      <c r="BK191" s="264" t="b">
        <f t="shared" si="44"/>
        <v>0</v>
      </c>
      <c r="BL191" s="266">
        <v>22</v>
      </c>
    </row>
    <row r="192" spans="2:142" ht="25" hidden="1" thickBot="1" x14ac:dyDescent="0.35">
      <c r="B192" s="286"/>
      <c r="AB192" s="318"/>
      <c r="AC192" s="318"/>
      <c r="AD192" s="318"/>
      <c r="AE192" s="318"/>
      <c r="AH192" s="694"/>
      <c r="AI192" s="695"/>
      <c r="AL192" s="661">
        <v>6.8623010000000004</v>
      </c>
      <c r="AM192" s="662">
        <f>+(AI191*-1)-AL192</f>
        <v>-7.8623010000000004</v>
      </c>
      <c r="AN192" s="663">
        <f>COS(AM192*3.14159265358979/180)</f>
        <v>0.9905996834409182</v>
      </c>
      <c r="AO192" s="689">
        <f>+AN192*378.71303</f>
        <v>375.15300763295096</v>
      </c>
      <c r="AP192" s="664"/>
      <c r="BE192" s="260"/>
      <c r="BF192" s="261"/>
      <c r="BG192" s="31"/>
      <c r="BH192" s="263"/>
      <c r="BI192" s="264"/>
      <c r="BJ192" s="264"/>
      <c r="BK192" s="264"/>
      <c r="BL192" s="266"/>
    </row>
    <row r="193" spans="2:109" ht="27" hidden="1" thickBot="1" x14ac:dyDescent="0.35">
      <c r="B193" s="286"/>
      <c r="AB193" s="318"/>
      <c r="AC193" s="318"/>
      <c r="AD193" s="318"/>
      <c r="AE193" s="318"/>
      <c r="AH193" s="694"/>
      <c r="AI193" s="695"/>
      <c r="AL193" s="685" t="s">
        <v>154</v>
      </c>
      <c r="AM193" s="690"/>
      <c r="AN193" s="690"/>
      <c r="AO193" s="690"/>
      <c r="AP193" s="691"/>
      <c r="BE193" s="260"/>
      <c r="BF193" s="261"/>
      <c r="BG193" s="31"/>
      <c r="BH193" s="263"/>
      <c r="BI193" s="264"/>
      <c r="BJ193" s="264"/>
      <c r="BK193" s="264"/>
      <c r="BL193" s="266"/>
    </row>
    <row r="194" spans="2:109" ht="78" hidden="1" customHeight="1" x14ac:dyDescent="0.3">
      <c r="B194" s="286"/>
      <c r="AB194" s="318"/>
      <c r="AC194" s="318"/>
      <c r="AD194" s="318"/>
      <c r="AE194" s="318"/>
      <c r="AH194" s="694"/>
      <c r="AI194" s="695"/>
      <c r="AL194" s="692"/>
      <c r="AM194" s="658" t="s">
        <v>147</v>
      </c>
      <c r="AN194" s="658" t="s">
        <v>146</v>
      </c>
      <c r="AO194" s="659" t="s">
        <v>155</v>
      </c>
      <c r="AP194" s="684" t="s">
        <v>144</v>
      </c>
      <c r="BE194" s="260"/>
      <c r="BF194" s="261"/>
      <c r="BG194" s="31"/>
      <c r="BH194" s="263"/>
      <c r="BI194" s="264"/>
      <c r="BJ194" s="264"/>
      <c r="BK194" s="264"/>
      <c r="BL194" s="266"/>
    </row>
    <row r="195" spans="2:109" ht="25" hidden="1" thickBot="1" x14ac:dyDescent="0.35">
      <c r="V195" s="170"/>
      <c r="W195" s="170"/>
      <c r="X195" s="170"/>
      <c r="Y195" s="170"/>
      <c r="Z195" s="170"/>
      <c r="AA195" s="170"/>
      <c r="AB195" s="170"/>
      <c r="AC195" s="170"/>
      <c r="AD195" s="170"/>
      <c r="AE195" s="170"/>
      <c r="AF195" s="170"/>
      <c r="AG195" s="170"/>
      <c r="AH195" s="170"/>
      <c r="AI195" s="170"/>
      <c r="AJ195" s="170"/>
      <c r="AK195" s="170"/>
      <c r="AL195" s="693"/>
      <c r="AM195" s="665">
        <f>+AI191</f>
        <v>1</v>
      </c>
      <c r="AN195" s="666">
        <f>SIN(AM195*3.14159265358979/180)</f>
        <v>1.7452406437283494E-2</v>
      </c>
      <c r="AO195" s="667">
        <f>+AN195*((+B136*358.6)+(B174*491.5)+119+119+119)</f>
        <v>21.066799810444905</v>
      </c>
      <c r="AP195" s="668">
        <f>+AO192+AO195</f>
        <v>396.21980744339589</v>
      </c>
      <c r="AQ195" s="170"/>
      <c r="AR195" s="170"/>
      <c r="AS195" s="170"/>
      <c r="AT195" s="170">
        <f>+AS177-AP177</f>
        <v>512.89429230938026</v>
      </c>
      <c r="AU195" s="170"/>
      <c r="AV195" s="170"/>
      <c r="AW195" s="170"/>
      <c r="AX195" s="170"/>
      <c r="AY195" s="170"/>
      <c r="AZ195" s="170"/>
      <c r="BA195" s="170"/>
      <c r="BB195" s="170"/>
      <c r="BC195" s="109"/>
      <c r="BE195" s="260">
        <v>23</v>
      </c>
      <c r="BF195" s="261">
        <f>+BF191+43</f>
        <v>473</v>
      </c>
      <c r="BG195" s="31">
        <f>+BG191+$E$2</f>
        <v>473</v>
      </c>
      <c r="BH195" s="263">
        <f t="shared" si="42"/>
        <v>245.68989247177618</v>
      </c>
      <c r="BI195" s="264">
        <f t="shared" si="43"/>
        <v>245.68989247177618</v>
      </c>
      <c r="BJ195" s="264">
        <f>+BJ191</f>
        <v>12.310107528223824</v>
      </c>
      <c r="BK195" s="264" t="b">
        <f t="shared" si="44"/>
        <v>0</v>
      </c>
      <c r="BL195" s="266">
        <v>23</v>
      </c>
    </row>
    <row r="196" spans="2:109" ht="21" thickBot="1" x14ac:dyDescent="0.35">
      <c r="V196" s="170"/>
      <c r="W196" s="170"/>
      <c r="X196" s="170"/>
      <c r="Y196" s="170"/>
      <c r="Z196" s="170"/>
      <c r="AA196" s="170"/>
      <c r="AB196" s="170"/>
      <c r="AC196" s="170"/>
      <c r="AD196" s="170"/>
      <c r="AE196" s="170"/>
      <c r="AF196" s="170"/>
      <c r="AG196" s="170"/>
      <c r="AH196" s="170"/>
      <c r="AI196" s="170"/>
      <c r="AJ196" s="170"/>
      <c r="AK196" s="170"/>
      <c r="AL196" s="170"/>
      <c r="AM196" s="170"/>
      <c r="AN196" s="170"/>
      <c r="AO196" s="170"/>
      <c r="AP196" s="170"/>
      <c r="AQ196" s="170"/>
      <c r="AR196" s="170"/>
      <c r="AS196" s="170"/>
      <c r="AT196" s="170"/>
      <c r="AU196" s="170"/>
      <c r="AV196" s="170"/>
      <c r="AW196" s="170"/>
      <c r="AX196" s="170"/>
      <c r="AY196" s="170"/>
      <c r="AZ196" s="170"/>
      <c r="BA196" s="170"/>
      <c r="BB196" s="170"/>
      <c r="BC196" s="109"/>
      <c r="BE196" s="260">
        <v>24</v>
      </c>
      <c r="BF196" s="261">
        <f t="shared" si="45"/>
        <v>516</v>
      </c>
      <c r="BG196" s="31">
        <f t="shared" si="46"/>
        <v>516</v>
      </c>
      <c r="BH196" s="263">
        <f t="shared" si="42"/>
        <v>288.68989247177615</v>
      </c>
      <c r="BI196" s="264">
        <f t="shared" si="43"/>
        <v>288.68989247177615</v>
      </c>
      <c r="BJ196" s="264">
        <f t="shared" si="47"/>
        <v>12.310107528223824</v>
      </c>
      <c r="BK196" s="264" t="b">
        <f t="shared" si="44"/>
        <v>0</v>
      </c>
      <c r="BL196" s="266">
        <v>24</v>
      </c>
    </row>
    <row r="197" spans="2:109" ht="67.5" customHeight="1" thickBot="1" x14ac:dyDescent="0.35">
      <c r="B197" s="284" t="s">
        <v>228</v>
      </c>
      <c r="C197" s="357"/>
      <c r="D197" s="358"/>
      <c r="E197" s="26"/>
      <c r="F197" s="26"/>
      <c r="G197" s="26"/>
      <c r="H197" s="359"/>
      <c r="I197" s="359"/>
      <c r="J197" s="359"/>
      <c r="K197" s="359"/>
      <c r="L197" s="359"/>
      <c r="M197" s="359"/>
      <c r="N197" s="359"/>
      <c r="O197" s="359"/>
      <c r="P197" s="359"/>
      <c r="Q197" s="359"/>
      <c r="R197" s="359"/>
      <c r="S197" s="360" t="s">
        <v>60</v>
      </c>
      <c r="T197" s="360">
        <f>SUM(V201:V220)/B198</f>
        <v>215.62121358952774</v>
      </c>
      <c r="U197" s="195"/>
      <c r="V197" s="170"/>
      <c r="W197" s="170"/>
      <c r="X197" s="170"/>
      <c r="Y197" s="170"/>
      <c r="Z197" s="170"/>
      <c r="AA197" s="170"/>
      <c r="AB197" s="170"/>
      <c r="AC197" s="170"/>
      <c r="AD197" s="170"/>
      <c r="AE197" s="170"/>
      <c r="AF197" s="170"/>
      <c r="AG197" s="170"/>
      <c r="AH197" s="170"/>
      <c r="AI197" s="170"/>
      <c r="AJ197" s="170"/>
      <c r="AK197" s="170"/>
      <c r="AL197" s="170"/>
      <c r="AM197" s="170"/>
      <c r="AN197" s="170"/>
      <c r="AO197" s="170"/>
      <c r="AP197" s="170"/>
      <c r="AQ197" s="170"/>
      <c r="AR197" s="170"/>
      <c r="AS197" s="170"/>
      <c r="AT197" s="170"/>
      <c r="AU197" s="170"/>
      <c r="AV197" s="170"/>
      <c r="AW197" s="170"/>
      <c r="AX197" s="170"/>
      <c r="AY197" s="170"/>
      <c r="AZ197" s="170"/>
      <c r="BA197" s="170"/>
      <c r="BB197" s="170"/>
      <c r="BC197" s="109"/>
      <c r="BE197" s="260">
        <v>25</v>
      </c>
      <c r="BF197" s="261">
        <f t="shared" si="45"/>
        <v>559</v>
      </c>
      <c r="BG197" s="31">
        <f t="shared" si="46"/>
        <v>559</v>
      </c>
      <c r="BH197" s="263">
        <f t="shared" si="42"/>
        <v>331.68989247177615</v>
      </c>
      <c r="BI197" s="264">
        <f t="shared" si="43"/>
        <v>331.68989247177615</v>
      </c>
      <c r="BJ197" s="264">
        <f t="shared" si="47"/>
        <v>12.310107528223824</v>
      </c>
      <c r="BK197" s="264" t="b">
        <f t="shared" si="44"/>
        <v>0</v>
      </c>
      <c r="BL197" s="266">
        <v>25</v>
      </c>
    </row>
    <row r="198" spans="2:109" ht="40.5" customHeight="1" thickBot="1" x14ac:dyDescent="0.35">
      <c r="B198" s="17">
        <v>1</v>
      </c>
      <c r="C198" s="199"/>
      <c r="D198" s="434" t="s">
        <v>214</v>
      </c>
      <c r="E198" s="277"/>
      <c r="F198" s="277"/>
      <c r="G198" s="277"/>
      <c r="H198" s="902" t="s">
        <v>227</v>
      </c>
      <c r="I198" s="902" t="s">
        <v>216</v>
      </c>
      <c r="J198" s="363"/>
      <c r="K198" s="363"/>
      <c r="L198" s="363"/>
      <c r="M198" s="363"/>
      <c r="N198" s="363"/>
      <c r="O198" s="363"/>
      <c r="P198" s="363"/>
      <c r="Q198" s="363"/>
      <c r="R198" s="363"/>
      <c r="S198" s="364"/>
      <c r="T198" s="365"/>
      <c r="U198" s="304"/>
      <c r="V198" s="366"/>
      <c r="W198" s="366"/>
      <c r="X198" s="366"/>
      <c r="Y198" s="366"/>
      <c r="Z198" s="366"/>
      <c r="AA198" s="366"/>
      <c r="AB198" s="366"/>
      <c r="AC198" s="366"/>
      <c r="AD198" s="366"/>
      <c r="AE198" s="366"/>
      <c r="AF198" s="366"/>
      <c r="AG198" s="366"/>
      <c r="AH198" s="366"/>
      <c r="AI198" s="366"/>
      <c r="AJ198" s="366"/>
      <c r="AK198" s="366"/>
      <c r="AL198" s="366"/>
      <c r="AM198" s="366"/>
      <c r="AN198" s="366"/>
      <c r="AO198" s="366"/>
      <c r="AP198" s="366"/>
      <c r="AQ198" s="366"/>
      <c r="AR198" s="366"/>
      <c r="AS198" s="366"/>
      <c r="AT198" s="366"/>
      <c r="AU198" s="366"/>
      <c r="AV198" s="366"/>
      <c r="AW198" s="366"/>
      <c r="AX198" s="366"/>
      <c r="AY198" s="366"/>
      <c r="AZ198" s="366"/>
      <c r="BA198" s="1115" t="s">
        <v>46</v>
      </c>
      <c r="BB198" s="1116"/>
      <c r="BC198" s="201"/>
      <c r="BE198" s="260">
        <v>26</v>
      </c>
      <c r="BF198" s="261">
        <f t="shared" si="45"/>
        <v>602</v>
      </c>
      <c r="BG198" s="31">
        <f t="shared" si="46"/>
        <v>602</v>
      </c>
      <c r="BH198" s="263">
        <f t="shared" si="42"/>
        <v>374.68989247177615</v>
      </c>
      <c r="BI198" s="264">
        <f t="shared" si="43"/>
        <v>374.68989247177615</v>
      </c>
      <c r="BJ198" s="264">
        <f t="shared" si="47"/>
        <v>12.310107528223824</v>
      </c>
      <c r="BK198" s="264" t="b">
        <f t="shared" si="44"/>
        <v>0</v>
      </c>
      <c r="BL198" s="266">
        <v>26</v>
      </c>
      <c r="BP198" s="267"/>
      <c r="BQ198" s="267"/>
      <c r="BR198" s="267"/>
      <c r="BS198" s="267"/>
      <c r="BT198" s="267"/>
      <c r="BU198" s="267"/>
      <c r="BV198" s="1109"/>
      <c r="BW198" s="1109"/>
      <c r="BX198" s="1109"/>
      <c r="BY198" s="109"/>
    </row>
    <row r="199" spans="2:109" ht="32" hidden="1" thickBot="1" x14ac:dyDescent="0.35">
      <c r="C199" s="319"/>
      <c r="D199" s="287" t="s">
        <v>13</v>
      </c>
      <c r="H199" s="903" t="s">
        <v>4</v>
      </c>
      <c r="I199" s="904" t="s">
        <v>1</v>
      </c>
      <c r="J199" s="359" t="s">
        <v>0</v>
      </c>
      <c r="K199" s="359" t="s">
        <v>2</v>
      </c>
      <c r="L199" s="359" t="s">
        <v>3</v>
      </c>
      <c r="M199" s="359" t="s">
        <v>8</v>
      </c>
      <c r="N199" s="359" t="s">
        <v>5</v>
      </c>
      <c r="O199" s="359" t="s">
        <v>6</v>
      </c>
      <c r="P199" s="359" t="s">
        <v>7</v>
      </c>
      <c r="Q199" s="359" t="s">
        <v>9</v>
      </c>
      <c r="R199" s="367" t="s">
        <v>10</v>
      </c>
      <c r="S199" s="359" t="s">
        <v>11</v>
      </c>
      <c r="T199" s="368" t="s">
        <v>12</v>
      </c>
      <c r="V199" s="323"/>
      <c r="W199" s="323"/>
      <c r="X199" s="323"/>
      <c r="Y199" s="323"/>
      <c r="Z199" s="323"/>
      <c r="AA199" s="323"/>
      <c r="AB199" s="882" t="s">
        <v>248</v>
      </c>
      <c r="AC199" s="323"/>
      <c r="AD199" s="323"/>
      <c r="AE199" s="323"/>
      <c r="AF199" s="323"/>
      <c r="AG199" s="323"/>
      <c r="AH199" s="323"/>
      <c r="AI199" s="323"/>
      <c r="AJ199" s="901" t="s">
        <v>217</v>
      </c>
      <c r="AK199" s="323"/>
      <c r="AL199" s="901" t="s">
        <v>225</v>
      </c>
      <c r="AM199" s="901" t="s">
        <v>219</v>
      </c>
      <c r="AN199" s="323"/>
      <c r="AO199" s="901" t="s">
        <v>226</v>
      </c>
      <c r="AP199" s="323"/>
      <c r="AQ199" s="901" t="s">
        <v>224</v>
      </c>
      <c r="AR199" s="323"/>
      <c r="AS199" s="323"/>
      <c r="AT199" s="323"/>
      <c r="AU199" s="323"/>
      <c r="AV199" s="323"/>
      <c r="AW199" s="323"/>
      <c r="AX199" s="323"/>
      <c r="AY199" s="318"/>
      <c r="AZ199" s="323"/>
      <c r="BA199" s="323"/>
      <c r="BB199" s="323"/>
      <c r="BC199" s="212"/>
      <c r="BE199" s="260">
        <v>27</v>
      </c>
      <c r="BF199" s="261">
        <f t="shared" si="45"/>
        <v>645</v>
      </c>
      <c r="BG199" s="31">
        <f t="shared" si="46"/>
        <v>645</v>
      </c>
      <c r="BH199" s="263">
        <f t="shared" si="42"/>
        <v>417.68989247177615</v>
      </c>
      <c r="BI199" s="264">
        <f t="shared" si="43"/>
        <v>417.68989247177615</v>
      </c>
      <c r="BJ199" s="264">
        <f t="shared" si="47"/>
        <v>12.310107528223824</v>
      </c>
      <c r="BK199" s="264" t="b">
        <f t="shared" si="44"/>
        <v>0</v>
      </c>
      <c r="BL199" s="266">
        <v>27</v>
      </c>
      <c r="BV199" s="268"/>
      <c r="CI199" s="268"/>
    </row>
    <row r="200" spans="2:109" ht="24.75" customHeight="1" thickBot="1" x14ac:dyDescent="0.35">
      <c r="B200" s="324"/>
      <c r="C200" s="325"/>
      <c r="D200" s="429" t="s">
        <v>20</v>
      </c>
      <c r="E200" s="277"/>
      <c r="F200" s="369" t="s">
        <v>43</v>
      </c>
      <c r="G200" s="221"/>
      <c r="H200" s="370"/>
      <c r="I200" s="371"/>
      <c r="R200" s="367"/>
      <c r="T200" s="372"/>
      <c r="V200" s="323"/>
      <c r="W200" s="323"/>
      <c r="X200" s="323"/>
      <c r="Y200" s="323"/>
      <c r="Z200" s="323"/>
      <c r="AA200" s="323"/>
      <c r="AB200" s="323"/>
      <c r="AC200" s="323"/>
      <c r="AD200" s="323"/>
      <c r="AE200" s="323"/>
      <c r="AF200" s="1002" t="s">
        <v>36</v>
      </c>
      <c r="AG200" s="430" t="s">
        <v>91</v>
      </c>
      <c r="AH200" s="328" t="s">
        <v>29</v>
      </c>
      <c r="AI200" s="328"/>
      <c r="AJ200" s="905" t="s">
        <v>218</v>
      </c>
      <c r="AK200" s="329" t="s">
        <v>30</v>
      </c>
      <c r="AL200" s="905" t="s">
        <v>31</v>
      </c>
      <c r="AM200" s="905" t="s">
        <v>220</v>
      </c>
      <c r="AN200" s="330" t="s">
        <v>32</v>
      </c>
      <c r="AO200" s="905" t="s">
        <v>33</v>
      </c>
      <c r="AP200" s="330"/>
      <c r="AQ200" s="373" t="s">
        <v>34</v>
      </c>
      <c r="AR200" s="323"/>
      <c r="AS200" s="323" t="s">
        <v>35</v>
      </c>
      <c r="AT200" s="323" t="s">
        <v>37</v>
      </c>
      <c r="AU200" s="323"/>
      <c r="AV200" s="323" t="s">
        <v>38</v>
      </c>
      <c r="AW200" s="332" t="s">
        <v>39</v>
      </c>
      <c r="AX200" s="332" t="s">
        <v>40</v>
      </c>
      <c r="AY200" s="333" t="s">
        <v>21</v>
      </c>
      <c r="AZ200" s="333" t="s">
        <v>22</v>
      </c>
      <c r="BA200" s="334" t="s">
        <v>21</v>
      </c>
      <c r="BB200" s="334" t="s">
        <v>22</v>
      </c>
      <c r="BE200" s="260">
        <v>28</v>
      </c>
      <c r="BF200" s="261">
        <f t="shared" si="45"/>
        <v>688</v>
      </c>
      <c r="BG200" s="31">
        <f t="shared" si="46"/>
        <v>688</v>
      </c>
      <c r="BH200" s="263">
        <f t="shared" si="42"/>
        <v>460.68989247177615</v>
      </c>
      <c r="BI200" s="264">
        <f t="shared" si="43"/>
        <v>460.68989247177615</v>
      </c>
      <c r="BJ200" s="264">
        <f t="shared" si="47"/>
        <v>12.310107528223824</v>
      </c>
      <c r="BK200" s="264" t="b">
        <f t="shared" si="44"/>
        <v>0</v>
      </c>
      <c r="BL200" s="266">
        <v>28</v>
      </c>
      <c r="BP200" s="269"/>
      <c r="BQ200" s="269"/>
      <c r="BR200" s="269"/>
      <c r="BS200" s="269"/>
      <c r="BT200" s="269"/>
      <c r="BU200" s="269"/>
      <c r="BV200" s="1110"/>
      <c r="BW200" s="1110"/>
      <c r="CH200" s="1104"/>
      <c r="CI200" s="1104"/>
    </row>
    <row r="201" spans="2:109" ht="21" customHeight="1" thickBot="1" x14ac:dyDescent="0.35">
      <c r="B201" s="232">
        <v>1</v>
      </c>
      <c r="C201" s="233">
        <f>+AI191+D201</f>
        <v>2</v>
      </c>
      <c r="D201" s="16">
        <v>1</v>
      </c>
      <c r="E201" s="234" t="s">
        <v>106</v>
      </c>
      <c r="F201" s="235">
        <f>+G201</f>
        <v>1</v>
      </c>
      <c r="G201" s="235">
        <f>+D201</f>
        <v>1</v>
      </c>
      <c r="H201" s="888">
        <v>251.073172</v>
      </c>
      <c r="I201" s="889">
        <v>65.636175100000003</v>
      </c>
      <c r="J201" s="374">
        <f>+I201-C201</f>
        <v>63.636175100000003</v>
      </c>
      <c r="K201" s="374">
        <f>+J201/2</f>
        <v>31.818087550000001</v>
      </c>
      <c r="L201" s="374">
        <f t="shared" ref="L201:L226" si="78">SIN(K201*3.14159265358979/180)</f>
        <v>0.52722406956490597</v>
      </c>
      <c r="M201" s="374">
        <f t="shared" ref="M201:M226" si="79">+L201*H201</f>
        <v>132.3718195004096</v>
      </c>
      <c r="N201" s="374">
        <f t="shared" ref="N201:N226" si="80">+M201*2</f>
        <v>264.7436390008192</v>
      </c>
      <c r="O201" s="374">
        <f>+C201/2</f>
        <v>1</v>
      </c>
      <c r="P201" s="374">
        <f t="shared" ref="P201:P226" si="81">SIN(O201*3.14159265358979/180)</f>
        <v>1.7452406437283494E-2</v>
      </c>
      <c r="Q201" s="374">
        <f t="shared" ref="Q201:Q226" si="82">+P201*N201</f>
        <v>4.6204135895277547</v>
      </c>
      <c r="R201" s="963">
        <v>211.0008</v>
      </c>
      <c r="S201" s="374">
        <f>+R201+Q201</f>
        <v>215.62121358952774</v>
      </c>
      <c r="T201" s="375">
        <f t="shared" ref="T201:T226" si="83">+S201</f>
        <v>215.62121358952774</v>
      </c>
      <c r="V201" s="929">
        <f t="shared" ref="V201:V226" si="84">IF(B201&lt;($B$198+1),T201,0)</f>
        <v>215.62121358952774</v>
      </c>
      <c r="W201" s="340"/>
      <c r="X201" s="340"/>
      <c r="Y201" s="340"/>
      <c r="Z201" s="340"/>
      <c r="AA201" s="340"/>
      <c r="AB201" s="235" t="str">
        <f>IF(AZ201&lt;0,"use the locking pin"," ")</f>
        <v xml:space="preserve"> </v>
      </c>
      <c r="AC201" s="377"/>
      <c r="AD201" s="377"/>
      <c r="AE201" s="377"/>
      <c r="AF201" s="966">
        <f>SUM(V201:V226)/($B$198)</f>
        <v>215.62121358952774</v>
      </c>
      <c r="AG201" s="971">
        <f>+AF201+AA177+AA139</f>
        <v>228.92258682113041</v>
      </c>
      <c r="AH201" s="353">
        <f>C201</f>
        <v>2</v>
      </c>
      <c r="AI201" s="944"/>
      <c r="AJ201" s="575">
        <f>75.4990086-AH201</f>
        <v>73.499008599999996</v>
      </c>
      <c r="AK201" s="944">
        <f t="shared" ref="AK201:AK226" si="85">SIN(AJ201*3.14159265358979/180)</f>
        <v>0.95881482035199095</v>
      </c>
      <c r="AL201" s="944">
        <f>+AK201*290.642868</f>
        <v>278.67268926800745</v>
      </c>
      <c r="AM201" s="968">
        <f>57.1819124+AH201</f>
        <v>59.181912400000002</v>
      </c>
      <c r="AN201" s="944">
        <f>SIN(AM201*3.14159265358979/180)</f>
        <v>0.85879820825488717</v>
      </c>
      <c r="AO201" s="969">
        <f>+AN201*251.073172</f>
        <v>215.62119025447112</v>
      </c>
      <c r="AP201" s="342"/>
      <c r="AQ201" s="347">
        <f>$C$14*B198</f>
        <v>29.3</v>
      </c>
      <c r="AR201" s="347"/>
      <c r="AS201" s="348">
        <f>+AO201+AL201</f>
        <v>494.29387952247856</v>
      </c>
      <c r="AT201" s="348">
        <f>+V201-AO201</f>
        <v>2.3335056624773642E-5</v>
      </c>
      <c r="AU201" s="348"/>
      <c r="AV201" s="350">
        <f>+AF201-AT201</f>
        <v>215.62119025447112</v>
      </c>
      <c r="AW201" s="350">
        <f>+((AS201-AV201)/AS201)*AQ201</f>
        <v>16.518735379529016</v>
      </c>
      <c r="AX201" s="351">
        <f>+(AV201/AS201)*AQ201</f>
        <v>12.781264620470987</v>
      </c>
      <c r="AY201" s="351">
        <f t="shared" ref="AY201:AY226" si="86">2*$C$18/AW201</f>
        <v>702.23293330162551</v>
      </c>
      <c r="AZ201" s="1043">
        <f t="shared" ref="AZ201:AZ226" si="87">$D$18/AX201</f>
        <v>782.39519303775296</v>
      </c>
      <c r="BA201" s="241">
        <f>ABS(AY201)</f>
        <v>702.23293330162551</v>
      </c>
      <c r="BB201" s="242">
        <f>ABS(AZ201)</f>
        <v>782.39519303775296</v>
      </c>
      <c r="BC201" s="74" t="s">
        <v>41</v>
      </c>
      <c r="BE201" s="260">
        <v>29</v>
      </c>
      <c r="BF201" s="261">
        <f t="shared" si="45"/>
        <v>731</v>
      </c>
      <c r="BG201" s="31">
        <f t="shared" si="46"/>
        <v>731</v>
      </c>
      <c r="BH201" s="263">
        <f t="shared" si="42"/>
        <v>503.68989247177615</v>
      </c>
      <c r="BI201" s="264">
        <f t="shared" si="43"/>
        <v>503.68989247177615</v>
      </c>
      <c r="BJ201" s="264">
        <f t="shared" si="47"/>
        <v>12.310107528223824</v>
      </c>
      <c r="BK201" s="264" t="b">
        <f t="shared" si="44"/>
        <v>0</v>
      </c>
      <c r="BL201" s="266">
        <v>29</v>
      </c>
    </row>
    <row r="202" spans="2:109" ht="21" customHeight="1" thickBot="1" x14ac:dyDescent="0.35">
      <c r="B202" s="244">
        <v>2</v>
      </c>
      <c r="C202" s="245"/>
      <c r="D202" s="16">
        <v>1</v>
      </c>
      <c r="E202" s="234" t="s">
        <v>215</v>
      </c>
      <c r="F202" s="235" t="e">
        <f t="shared" ref="F202:F226" si="88">+G202</f>
        <v>#DIV/0!</v>
      </c>
      <c r="G202" s="235" t="e">
        <f>+D202+BC202</f>
        <v>#DIV/0!</v>
      </c>
      <c r="H202" s="888">
        <v>251.073172</v>
      </c>
      <c r="I202" s="889">
        <v>65.636175100000003</v>
      </c>
      <c r="J202" s="374">
        <f t="shared" ref="J202:J226" si="89">+I202-D202</f>
        <v>64.636175100000003</v>
      </c>
      <c r="K202" s="374">
        <f t="shared" ref="K202:K226" si="90">+J202/2</f>
        <v>32.318087550000001</v>
      </c>
      <c r="L202" s="374">
        <f t="shared" si="78"/>
        <v>0.53461916118589337</v>
      </c>
      <c r="M202" s="374">
        <f t="shared" si="79"/>
        <v>134.22852861092153</v>
      </c>
      <c r="N202" s="374">
        <f t="shared" si="80"/>
        <v>268.45705722184306</v>
      </c>
      <c r="O202" s="374">
        <f>+C201+(D202/2)</f>
        <v>2.5</v>
      </c>
      <c r="P202" s="374">
        <f t="shared" si="81"/>
        <v>4.3619387365335958E-2</v>
      </c>
      <c r="Q202" s="374">
        <f t="shared" si="82"/>
        <v>11.709932369917734</v>
      </c>
      <c r="R202" s="374">
        <f t="shared" ref="R202:R226" si="91">+T201</f>
        <v>215.62121358952774</v>
      </c>
      <c r="S202" s="374">
        <f>+R202+Q202</f>
        <v>227.33114595944548</v>
      </c>
      <c r="T202" s="375">
        <f t="shared" si="83"/>
        <v>227.33114595944548</v>
      </c>
      <c r="V202" s="929">
        <f t="shared" si="84"/>
        <v>0</v>
      </c>
      <c r="W202" s="340"/>
      <c r="X202" s="340"/>
      <c r="Y202" s="340"/>
      <c r="Z202" s="340"/>
      <c r="AA202" s="340"/>
      <c r="AB202" s="247" t="e">
        <f t="shared" ref="AB202:AB226" si="92">IF(AZ202&lt;0,"use the locking pin"," ")</f>
        <v>#DIV/0!</v>
      </c>
      <c r="AC202" s="377"/>
      <c r="AD202" s="377"/>
      <c r="AE202" s="377"/>
      <c r="AF202" s="966" t="e">
        <f>SUM(V202:V226)/($B$198-B201)</f>
        <v>#DIV/0!</v>
      </c>
      <c r="AG202" s="971"/>
      <c r="AH202" s="353">
        <f>SUM(D202)+$C$201</f>
        <v>3</v>
      </c>
      <c r="AI202" s="944"/>
      <c r="AJ202" s="575">
        <f t="shared" ref="AJ202:AJ226" si="93">75.4990086-AH202</f>
        <v>72.499008599999996</v>
      </c>
      <c r="AK202" s="944">
        <f t="shared" si="85"/>
        <v>0.95371174743460796</v>
      </c>
      <c r="AL202" s="944">
        <f t="shared" ref="AL202:AL226" si="94">+AK202*290.642868</f>
        <v>277.18951751968609</v>
      </c>
      <c r="AM202" s="968">
        <f t="shared" ref="AM202:AM226" si="95">57.1819124+AH202</f>
        <v>60.181912400000002</v>
      </c>
      <c r="AN202" s="944">
        <f t="shared" ref="AN202:AN226" si="96">SIN(AM202*3.14159265358979/180)</f>
        <v>0.86760852132903066</v>
      </c>
      <c r="AO202" s="969">
        <f t="shared" ref="AO202:AO226" si="97">+AN202*251.073172</f>
        <v>217.83322350430939</v>
      </c>
      <c r="AP202" s="251"/>
      <c r="AQ202" s="347">
        <f t="shared" ref="AQ202:AQ226" si="98">$C$14*($B$198-B201)</f>
        <v>0</v>
      </c>
      <c r="AR202" s="347"/>
      <c r="AS202" s="348">
        <f t="shared" ref="AS202:AS226" si="99">+AO202+AL202</f>
        <v>495.02274102399548</v>
      </c>
      <c r="AT202" s="348">
        <f>+V202-AO202</f>
        <v>-217.83322350430939</v>
      </c>
      <c r="AU202" s="348"/>
      <c r="AV202" s="350" t="e">
        <f>+AF202-AT202</f>
        <v>#DIV/0!</v>
      </c>
      <c r="AW202" s="350" t="e">
        <f t="shared" ref="AW202:AW226" si="100">+((AS202-AV202)/AS202)*AQ202</f>
        <v>#DIV/0!</v>
      </c>
      <c r="AX202" s="351" t="e">
        <f t="shared" ref="AX202:AX226" si="101">+(AV202/AS202)*AQ202</f>
        <v>#DIV/0!</v>
      </c>
      <c r="AY202" s="351" t="e">
        <f t="shared" si="86"/>
        <v>#DIV/0!</v>
      </c>
      <c r="AZ202" s="1043" t="e">
        <f t="shared" si="87"/>
        <v>#DIV/0!</v>
      </c>
      <c r="BA202" s="241" t="e">
        <f t="shared" ref="BA202:BB221" si="102">ABS(AY202)</f>
        <v>#DIV/0!</v>
      </c>
      <c r="BB202" s="256" t="e">
        <f t="shared" si="102"/>
        <v>#DIV/0!</v>
      </c>
      <c r="BC202" t="e">
        <f t="shared" ref="BC202:BC226" si="103">IF(AZ202&lt;0,0.3,0)</f>
        <v>#DIV/0!</v>
      </c>
      <c r="BE202" s="260">
        <v>30</v>
      </c>
      <c r="BF202" s="261">
        <f t="shared" si="45"/>
        <v>774</v>
      </c>
      <c r="BG202" s="31">
        <f t="shared" si="46"/>
        <v>774</v>
      </c>
      <c r="BH202" s="263">
        <f t="shared" si="42"/>
        <v>546.68989247177615</v>
      </c>
      <c r="BI202" s="264">
        <f t="shared" si="43"/>
        <v>546.68989247177615</v>
      </c>
      <c r="BJ202" s="264">
        <f t="shared" si="47"/>
        <v>12.310107528223824</v>
      </c>
      <c r="BK202" s="264" t="b">
        <f t="shared" si="44"/>
        <v>0</v>
      </c>
      <c r="BL202" s="266">
        <v>30</v>
      </c>
    </row>
    <row r="203" spans="2:109" ht="21" customHeight="1" thickBot="1" x14ac:dyDescent="0.35">
      <c r="B203" s="244">
        <v>3</v>
      </c>
      <c r="C203" s="245"/>
      <c r="D203" s="16">
        <v>1</v>
      </c>
      <c r="E203" s="234" t="s">
        <v>215</v>
      </c>
      <c r="F203" s="235">
        <f t="shared" si="88"/>
        <v>1.3</v>
      </c>
      <c r="G203" s="235">
        <f t="shared" ref="G203:G226" si="104">+D203+BC203</f>
        <v>1.3</v>
      </c>
      <c r="H203" s="888">
        <v>251.073172</v>
      </c>
      <c r="I203" s="889">
        <v>65.636175100000003</v>
      </c>
      <c r="J203" s="374">
        <f t="shared" si="89"/>
        <v>64.636175100000003</v>
      </c>
      <c r="K203" s="374">
        <f t="shared" si="90"/>
        <v>32.318087550000001</v>
      </c>
      <c r="L203" s="374">
        <f t="shared" si="78"/>
        <v>0.53461916118589337</v>
      </c>
      <c r="M203" s="374">
        <f t="shared" si="79"/>
        <v>134.22852861092153</v>
      </c>
      <c r="N203" s="374">
        <f t="shared" si="80"/>
        <v>268.45705722184306</v>
      </c>
      <c r="O203" s="374">
        <f>+C201+D202+(D203/2)</f>
        <v>3.5</v>
      </c>
      <c r="P203" s="374">
        <f t="shared" si="81"/>
        <v>6.1048539534856811E-2</v>
      </c>
      <c r="Q203" s="374">
        <f t="shared" si="82"/>
        <v>16.388911271219001</v>
      </c>
      <c r="R203" s="374">
        <f t="shared" si="91"/>
        <v>227.33114595944548</v>
      </c>
      <c r="S203" s="374">
        <f t="shared" ref="S203:S226" si="105">+S202+Q203</f>
        <v>243.72005723066448</v>
      </c>
      <c r="T203" s="375">
        <f t="shared" si="83"/>
        <v>243.72005723066448</v>
      </c>
      <c r="V203" s="929">
        <f t="shared" si="84"/>
        <v>0</v>
      </c>
      <c r="W203" s="340"/>
      <c r="X203" s="340"/>
      <c r="Y203" s="340"/>
      <c r="Z203" s="340"/>
      <c r="AA203" s="340"/>
      <c r="AB203" s="257" t="str">
        <f t="shared" si="92"/>
        <v>use the locking pin</v>
      </c>
      <c r="AC203" s="377"/>
      <c r="AD203" s="377"/>
      <c r="AE203" s="377"/>
      <c r="AF203" s="966">
        <f>SUM(V203:V226)/($B$198-B202)</f>
        <v>0</v>
      </c>
      <c r="AG203" s="971"/>
      <c r="AH203" s="353">
        <f>SUM(D202:D203)+$C$201</f>
        <v>4</v>
      </c>
      <c r="AI203" s="944"/>
      <c r="AJ203" s="575">
        <f t="shared" si="93"/>
        <v>71.499008599999996</v>
      </c>
      <c r="AK203" s="944">
        <f t="shared" si="85"/>
        <v>0.94831816468014318</v>
      </c>
      <c r="AL203" s="944">
        <f t="shared" si="94"/>
        <v>275.62191115913316</v>
      </c>
      <c r="AM203" s="968">
        <f t="shared" si="95"/>
        <v>61.181912400000002</v>
      </c>
      <c r="AN203" s="944">
        <f t="shared" si="96"/>
        <v>0.87615455244286489</v>
      </c>
      <c r="AO203" s="969">
        <f t="shared" si="97"/>
        <v>219.97890264407044</v>
      </c>
      <c r="AP203" s="251"/>
      <c r="AQ203" s="347">
        <f t="shared" si="98"/>
        <v>-29.3</v>
      </c>
      <c r="AR203" s="347"/>
      <c r="AS203" s="348">
        <f t="shared" si="99"/>
        <v>495.60081380320361</v>
      </c>
      <c r="AT203" s="348">
        <f>+V203-AO203</f>
        <v>-219.97890264407044</v>
      </c>
      <c r="AU203" s="348"/>
      <c r="AV203" s="350">
        <f>+AF203-AT203</f>
        <v>219.97890264407044</v>
      </c>
      <c r="AW203" s="350">
        <f t="shared" si="100"/>
        <v>-16.294811816369133</v>
      </c>
      <c r="AX203" s="351">
        <f t="shared" si="101"/>
        <v>-13.005188183630866</v>
      </c>
      <c r="AY203" s="351">
        <f t="shared" si="86"/>
        <v>-711.88302944051748</v>
      </c>
      <c r="AZ203" s="1043">
        <f t="shared" si="87"/>
        <v>-768.92389858584431</v>
      </c>
      <c r="BA203" s="241">
        <f t="shared" si="102"/>
        <v>711.88302944051748</v>
      </c>
      <c r="BB203" s="242">
        <f t="shared" si="102"/>
        <v>768.92389858584431</v>
      </c>
      <c r="BC203">
        <f t="shared" si="103"/>
        <v>0.3</v>
      </c>
      <c r="BE203" s="260">
        <v>31</v>
      </c>
      <c r="BF203" s="261">
        <f t="shared" si="45"/>
        <v>817</v>
      </c>
      <c r="BG203" s="31">
        <f t="shared" si="46"/>
        <v>817</v>
      </c>
      <c r="BH203" s="263">
        <f t="shared" si="42"/>
        <v>589.68989247177615</v>
      </c>
      <c r="BI203" s="264">
        <f t="shared" si="43"/>
        <v>589.68989247177615</v>
      </c>
      <c r="BJ203" s="264">
        <f t="shared" si="47"/>
        <v>12.310107528223824</v>
      </c>
      <c r="BK203" s="264" t="b">
        <f t="shared" si="44"/>
        <v>0</v>
      </c>
      <c r="BL203" s="266">
        <v>31</v>
      </c>
    </row>
    <row r="204" spans="2:109" ht="21" customHeight="1" thickBot="1" x14ac:dyDescent="0.35">
      <c r="B204" s="244">
        <v>4</v>
      </c>
      <c r="C204" s="245"/>
      <c r="D204" s="16">
        <v>1</v>
      </c>
      <c r="E204" s="234" t="s">
        <v>215</v>
      </c>
      <c r="F204" s="235">
        <f t="shared" si="88"/>
        <v>1.3</v>
      </c>
      <c r="G204" s="235">
        <f t="shared" si="104"/>
        <v>1.3</v>
      </c>
      <c r="H204" s="888">
        <v>251.073172</v>
      </c>
      <c r="I204" s="889">
        <v>65.636175100000003</v>
      </c>
      <c r="J204" s="374">
        <f t="shared" si="89"/>
        <v>64.636175100000003</v>
      </c>
      <c r="K204" s="374">
        <f t="shared" si="90"/>
        <v>32.318087550000001</v>
      </c>
      <c r="L204" s="374">
        <f t="shared" si="78"/>
        <v>0.53461916118589337</v>
      </c>
      <c r="M204" s="374">
        <f t="shared" si="79"/>
        <v>134.22852861092153</v>
      </c>
      <c r="N204" s="374">
        <f t="shared" si="80"/>
        <v>268.45705722184306</v>
      </c>
      <c r="O204" s="374">
        <f>+C201+D202+D203+(D204/2)</f>
        <v>4.5</v>
      </c>
      <c r="P204" s="374">
        <f t="shared" si="81"/>
        <v>7.845909572784486E-2</v>
      </c>
      <c r="Q204" s="374">
        <f t="shared" si="82"/>
        <v>21.062897951384109</v>
      </c>
      <c r="R204" s="374">
        <f t="shared" si="91"/>
        <v>243.72005723066448</v>
      </c>
      <c r="S204" s="374">
        <f t="shared" si="105"/>
        <v>264.78295518204857</v>
      </c>
      <c r="T204" s="375">
        <f t="shared" si="83"/>
        <v>264.78295518204857</v>
      </c>
      <c r="V204" s="929">
        <f t="shared" si="84"/>
        <v>0</v>
      </c>
      <c r="W204" s="340"/>
      <c r="X204" s="340"/>
      <c r="Y204" s="340"/>
      <c r="Z204" s="340"/>
      <c r="AA204" s="340"/>
      <c r="AB204" s="257" t="str">
        <f t="shared" si="92"/>
        <v>use the locking pin</v>
      </c>
      <c r="AC204" s="377"/>
      <c r="AD204" s="377"/>
      <c r="AE204" s="377"/>
      <c r="AF204" s="966">
        <f>SUM(V204:V226)/($B$198-B203)</f>
        <v>0</v>
      </c>
      <c r="AG204" s="971"/>
      <c r="AH204" s="353">
        <f>SUM(D202:D204)+$C$201</f>
        <v>5</v>
      </c>
      <c r="AI204" s="944"/>
      <c r="AJ204" s="575">
        <f t="shared" si="93"/>
        <v>70.499008599999996</v>
      </c>
      <c r="AK204" s="944">
        <f t="shared" si="85"/>
        <v>0.94263571502615251</v>
      </c>
      <c r="AL204" s="944">
        <f t="shared" si="94"/>
        <v>273.97034769443167</v>
      </c>
      <c r="AM204" s="968">
        <f t="shared" si="95"/>
        <v>62.181912400000002</v>
      </c>
      <c r="AN204" s="944">
        <f t="shared" si="96"/>
        <v>0.88443369839252528</v>
      </c>
      <c r="AO204" s="969">
        <f t="shared" si="97"/>
        <v>222.05757407910264</v>
      </c>
      <c r="AP204" s="251"/>
      <c r="AQ204" s="347">
        <f t="shared" si="98"/>
        <v>-58.6</v>
      </c>
      <c r="AR204" s="347"/>
      <c r="AS204" s="348">
        <f t="shared" si="99"/>
        <v>496.02792177353433</v>
      </c>
      <c r="AT204" s="348">
        <f>+V204-AO204</f>
        <v>-222.05757407910264</v>
      </c>
      <c r="AU204" s="348"/>
      <c r="AV204" s="350">
        <f t="shared" ref="AV204:AV226" si="106">+AF204-AT204</f>
        <v>222.05757407910264</v>
      </c>
      <c r="AW204" s="350">
        <f t="shared" si="100"/>
        <v>-32.366448883544074</v>
      </c>
      <c r="AX204" s="351">
        <f t="shared" si="101"/>
        <v>-26.233551116455924</v>
      </c>
      <c r="AY204" s="351">
        <f t="shared" si="86"/>
        <v>-358.39582036748357</v>
      </c>
      <c r="AZ204" s="1043">
        <f t="shared" si="87"/>
        <v>-381.19124458629415</v>
      </c>
      <c r="BA204" s="241">
        <f t="shared" si="102"/>
        <v>358.39582036748357</v>
      </c>
      <c r="BB204" s="242">
        <f t="shared" si="102"/>
        <v>381.19124458629415</v>
      </c>
      <c r="BC204">
        <f t="shared" si="103"/>
        <v>0.3</v>
      </c>
      <c r="BE204" s="260">
        <v>32</v>
      </c>
      <c r="BF204" s="261">
        <f t="shared" si="45"/>
        <v>860</v>
      </c>
      <c r="BG204" s="31">
        <f t="shared" si="46"/>
        <v>860</v>
      </c>
      <c r="BH204" s="263">
        <f t="shared" si="42"/>
        <v>632.68989247177615</v>
      </c>
      <c r="BI204" s="264">
        <f t="shared" si="43"/>
        <v>632.68989247177615</v>
      </c>
      <c r="BJ204" s="264">
        <f t="shared" si="47"/>
        <v>12.310107528223824</v>
      </c>
      <c r="BK204" s="264" t="b">
        <f t="shared" si="44"/>
        <v>0</v>
      </c>
      <c r="BL204" s="266">
        <v>32</v>
      </c>
    </row>
    <row r="205" spans="2:109" ht="21" customHeight="1" thickBot="1" x14ac:dyDescent="0.35">
      <c r="B205" s="244">
        <v>5</v>
      </c>
      <c r="C205" s="245"/>
      <c r="D205" s="16">
        <v>1</v>
      </c>
      <c r="E205" s="234" t="s">
        <v>215</v>
      </c>
      <c r="F205" s="235">
        <f t="shared" si="88"/>
        <v>1.3</v>
      </c>
      <c r="G205" s="235">
        <f>+D205+BC205</f>
        <v>1.3</v>
      </c>
      <c r="H205" s="888">
        <v>251.073172</v>
      </c>
      <c r="I205" s="889">
        <v>65.636175100000003</v>
      </c>
      <c r="J205" s="374">
        <f t="shared" si="89"/>
        <v>64.636175100000003</v>
      </c>
      <c r="K205" s="374">
        <f t="shared" si="90"/>
        <v>32.318087550000001</v>
      </c>
      <c r="L205" s="374">
        <f t="shared" si="78"/>
        <v>0.53461916118589337</v>
      </c>
      <c r="M205" s="374">
        <f t="shared" si="79"/>
        <v>134.22852861092153</v>
      </c>
      <c r="N205" s="374">
        <f t="shared" si="80"/>
        <v>268.45705722184306</v>
      </c>
      <c r="O205" s="374">
        <f>+C201+D202+D203+D204+(D205/2)</f>
        <v>5.5</v>
      </c>
      <c r="P205" s="374">
        <f t="shared" si="81"/>
        <v>9.5845752520223898E-2</v>
      </c>
      <c r="Q205" s="374">
        <f t="shared" si="82"/>
        <v>25.730468668792355</v>
      </c>
      <c r="R205" s="374">
        <f t="shared" si="91"/>
        <v>264.78295518204857</v>
      </c>
      <c r="S205" s="374">
        <f t="shared" si="105"/>
        <v>290.51342385084092</v>
      </c>
      <c r="T205" s="375">
        <f t="shared" si="83"/>
        <v>290.51342385084092</v>
      </c>
      <c r="V205" s="929">
        <f t="shared" si="84"/>
        <v>0</v>
      </c>
      <c r="W205" s="340"/>
      <c r="X205" s="340"/>
      <c r="Y205" s="340"/>
      <c r="Z205" s="340"/>
      <c r="AA205" s="340"/>
      <c r="AB205" s="257" t="str">
        <f t="shared" si="92"/>
        <v>use the locking pin</v>
      </c>
      <c r="AC205" s="377"/>
      <c r="AD205" s="377"/>
      <c r="AE205" s="377"/>
      <c r="AF205" s="966">
        <f>SUM(V205:V226)/($B$198-B204)</f>
        <v>0</v>
      </c>
      <c r="AG205" s="971"/>
      <c r="AH205" s="353">
        <f>SUM(D202:D205)+$C$201</f>
        <v>6</v>
      </c>
      <c r="AI205" s="944"/>
      <c r="AJ205" s="575">
        <f t="shared" si="93"/>
        <v>69.499008599999996</v>
      </c>
      <c r="AK205" s="944">
        <f t="shared" si="85"/>
        <v>0.93666612940184768</v>
      </c>
      <c r="AL205" s="944">
        <f t="shared" si="94"/>
        <v>272.23533020781213</v>
      </c>
      <c r="AM205" s="968">
        <f t="shared" si="95"/>
        <v>63.181912400000002</v>
      </c>
      <c r="AN205" s="944">
        <f t="shared" si="96"/>
        <v>0.8924434372699539</v>
      </c>
      <c r="AO205" s="969">
        <f t="shared" si="97"/>
        <v>224.06860462595034</v>
      </c>
      <c r="AP205" s="251"/>
      <c r="AQ205" s="347">
        <f t="shared" si="98"/>
        <v>-87.9</v>
      </c>
      <c r="AR205" s="347"/>
      <c r="AS205" s="348">
        <f t="shared" si="99"/>
        <v>496.30393483376247</v>
      </c>
      <c r="AT205" s="348">
        <f t="shared" ref="AT205:AT226" si="107">+V205-AO205</f>
        <v>-224.06860462595034</v>
      </c>
      <c r="AU205" s="348"/>
      <c r="AV205" s="350">
        <f t="shared" si="106"/>
        <v>224.06860462595034</v>
      </c>
      <c r="AW205" s="350">
        <f t="shared" si="100"/>
        <v>-48.215385463913151</v>
      </c>
      <c r="AX205" s="351">
        <f t="shared" si="101"/>
        <v>-39.684614536086862</v>
      </c>
      <c r="AY205" s="351">
        <f t="shared" si="86"/>
        <v>-240.58710489169542</v>
      </c>
      <c r="AZ205" s="1043">
        <f t="shared" si="87"/>
        <v>-251.98682453893022</v>
      </c>
      <c r="BA205" s="241">
        <f t="shared" si="102"/>
        <v>240.58710489169542</v>
      </c>
      <c r="BB205" s="242">
        <f t="shared" si="102"/>
        <v>251.98682453893022</v>
      </c>
      <c r="BC205">
        <f t="shared" si="103"/>
        <v>0.3</v>
      </c>
      <c r="BE205" s="260">
        <v>33</v>
      </c>
      <c r="BF205" s="261">
        <f t="shared" si="45"/>
        <v>903</v>
      </c>
      <c r="BG205" s="31">
        <f t="shared" si="46"/>
        <v>903</v>
      </c>
      <c r="BH205" s="263">
        <f t="shared" si="42"/>
        <v>675.68989247177615</v>
      </c>
      <c r="BI205" s="264">
        <f t="shared" si="43"/>
        <v>675.68989247177615</v>
      </c>
      <c r="BJ205" s="264">
        <f t="shared" si="47"/>
        <v>12.310107528223824</v>
      </c>
      <c r="BK205" s="264" t="b">
        <f t="shared" si="44"/>
        <v>0</v>
      </c>
      <c r="BL205" s="266">
        <v>33</v>
      </c>
      <c r="DE205" s="267"/>
    </row>
    <row r="206" spans="2:109" ht="21" customHeight="1" thickBot="1" x14ac:dyDescent="0.35">
      <c r="B206" s="244">
        <v>6</v>
      </c>
      <c r="C206" s="245"/>
      <c r="D206" s="16">
        <v>1</v>
      </c>
      <c r="E206" s="234" t="s">
        <v>215</v>
      </c>
      <c r="F206" s="235">
        <f t="shared" si="88"/>
        <v>1.3</v>
      </c>
      <c r="G206" s="235">
        <f t="shared" si="104"/>
        <v>1.3</v>
      </c>
      <c r="H206" s="888">
        <v>251.073172</v>
      </c>
      <c r="I206" s="889">
        <v>65.636175100000003</v>
      </c>
      <c r="J206" s="374">
        <f t="shared" si="89"/>
        <v>64.636175100000003</v>
      </c>
      <c r="K206" s="374">
        <f t="shared" si="90"/>
        <v>32.318087550000001</v>
      </c>
      <c r="L206" s="374">
        <f t="shared" si="78"/>
        <v>0.53461916118589337</v>
      </c>
      <c r="M206" s="374">
        <f t="shared" si="79"/>
        <v>134.22852861092153</v>
      </c>
      <c r="N206" s="374">
        <f t="shared" si="80"/>
        <v>268.45705722184306</v>
      </c>
      <c r="O206" s="374">
        <f>+C201+D202+D203+D204+D205+(D206/2)</f>
        <v>6.5</v>
      </c>
      <c r="P206" s="374">
        <f t="shared" si="81"/>
        <v>0.11320321376790661</v>
      </c>
      <c r="Q206" s="374">
        <f t="shared" si="82"/>
        <v>30.390201636187438</v>
      </c>
      <c r="R206" s="374">
        <f t="shared" si="91"/>
        <v>290.51342385084092</v>
      </c>
      <c r="S206" s="374">
        <f t="shared" si="105"/>
        <v>320.90362548702836</v>
      </c>
      <c r="T206" s="375">
        <f t="shared" si="83"/>
        <v>320.90362548702836</v>
      </c>
      <c r="V206" s="929">
        <f t="shared" si="84"/>
        <v>0</v>
      </c>
      <c r="W206" s="340"/>
      <c r="X206" s="340"/>
      <c r="Y206" s="340"/>
      <c r="Z206" s="340"/>
      <c r="AA206" s="340"/>
      <c r="AB206" s="257" t="str">
        <f t="shared" si="92"/>
        <v>use the locking pin</v>
      </c>
      <c r="AC206" s="377"/>
      <c r="AD206" s="377"/>
      <c r="AE206" s="377"/>
      <c r="AF206" s="966">
        <f>SUM(V206:V226)/($B$198-B205)</f>
        <v>0</v>
      </c>
      <c r="AG206" s="971"/>
      <c r="AH206" s="353">
        <f>SUM(D202:D206)+$C$201</f>
        <v>7</v>
      </c>
      <c r="AI206" s="944"/>
      <c r="AJ206" s="575">
        <f t="shared" si="93"/>
        <v>68.499008599999996</v>
      </c>
      <c r="AK206" s="944">
        <f t="shared" si="85"/>
        <v>0.93041122620083849</v>
      </c>
      <c r="AL206" s="944">
        <f t="shared" si="94"/>
        <v>270.41738720240846</v>
      </c>
      <c r="AM206" s="968">
        <f t="shared" si="95"/>
        <v>64.181912400000002</v>
      </c>
      <c r="AN206" s="944">
        <f t="shared" si="96"/>
        <v>0.90018132923109617</v>
      </c>
      <c r="AO206" s="969">
        <f t="shared" si="97"/>
        <v>226.01138170522765</v>
      </c>
      <c r="AP206" s="251"/>
      <c r="AQ206" s="347">
        <f t="shared" si="98"/>
        <v>-117.2</v>
      </c>
      <c r="AR206" s="347"/>
      <c r="AS206" s="348">
        <f t="shared" si="99"/>
        <v>496.42876890763614</v>
      </c>
      <c r="AT206" s="348">
        <f t="shared" si="107"/>
        <v>-226.01138170522765</v>
      </c>
      <c r="AU206" s="348"/>
      <c r="AV206" s="350">
        <f t="shared" si="106"/>
        <v>226.01138170522765</v>
      </c>
      <c r="AW206" s="350">
        <f t="shared" si="100"/>
        <v>-63.841823369465018</v>
      </c>
      <c r="AX206" s="351">
        <f t="shared" si="101"/>
        <v>-53.358176630534977</v>
      </c>
      <c r="AY206" s="351">
        <f t="shared" si="86"/>
        <v>-181.69907104420483</v>
      </c>
      <c r="AZ206" s="1043">
        <f t="shared" si="87"/>
        <v>-187.4127009482059</v>
      </c>
      <c r="BA206" s="241">
        <f t="shared" si="102"/>
        <v>181.69907104420483</v>
      </c>
      <c r="BB206" s="242">
        <f t="shared" si="102"/>
        <v>187.4127009482059</v>
      </c>
      <c r="BC206">
        <f t="shared" si="103"/>
        <v>0.3</v>
      </c>
      <c r="BE206" s="260">
        <v>34</v>
      </c>
      <c r="BF206" s="261">
        <f t="shared" si="45"/>
        <v>946</v>
      </c>
      <c r="BG206" s="31">
        <f t="shared" si="46"/>
        <v>946</v>
      </c>
      <c r="BH206" s="263">
        <f t="shared" si="42"/>
        <v>718.68989247177615</v>
      </c>
      <c r="BI206" s="264">
        <f t="shared" si="43"/>
        <v>718.68989247177615</v>
      </c>
      <c r="BJ206" s="264">
        <f t="shared" si="47"/>
        <v>12.310107528223824</v>
      </c>
      <c r="BK206" s="264" t="b">
        <f t="shared" si="44"/>
        <v>0</v>
      </c>
      <c r="BL206" s="266">
        <v>34</v>
      </c>
    </row>
    <row r="207" spans="2:109" ht="21" customHeight="1" thickBot="1" x14ac:dyDescent="0.35">
      <c r="B207" s="244">
        <v>7</v>
      </c>
      <c r="C207" s="245"/>
      <c r="D207" s="16">
        <v>1</v>
      </c>
      <c r="E207" s="234" t="s">
        <v>215</v>
      </c>
      <c r="F207" s="235">
        <f t="shared" si="88"/>
        <v>1.3</v>
      </c>
      <c r="G207" s="235">
        <f t="shared" si="104"/>
        <v>1.3</v>
      </c>
      <c r="H207" s="888">
        <v>251.073172</v>
      </c>
      <c r="I207" s="889">
        <v>65.636175100000003</v>
      </c>
      <c r="J207" s="374">
        <f t="shared" si="89"/>
        <v>64.636175100000003</v>
      </c>
      <c r="K207" s="374">
        <f t="shared" si="90"/>
        <v>32.318087550000001</v>
      </c>
      <c r="L207" s="374">
        <f t="shared" si="78"/>
        <v>0.53461916118589337</v>
      </c>
      <c r="M207" s="374">
        <f t="shared" si="79"/>
        <v>134.22852861092153</v>
      </c>
      <c r="N207" s="374">
        <f t="shared" si="80"/>
        <v>268.45705722184306</v>
      </c>
      <c r="O207" s="374">
        <f>+C201+D202+D203+D204+D205+D206+(D207/2)</f>
        <v>7.5</v>
      </c>
      <c r="P207" s="374">
        <f t="shared" si="81"/>
        <v>0.13052619222005146</v>
      </c>
      <c r="Q207" s="374">
        <f t="shared" si="82"/>
        <v>35.040677453767643</v>
      </c>
      <c r="R207" s="374">
        <f t="shared" si="91"/>
        <v>320.90362548702836</v>
      </c>
      <c r="S207" s="374">
        <f t="shared" si="105"/>
        <v>355.94430294079598</v>
      </c>
      <c r="T207" s="375">
        <f t="shared" si="83"/>
        <v>355.94430294079598</v>
      </c>
      <c r="V207" s="929">
        <f t="shared" si="84"/>
        <v>0</v>
      </c>
      <c r="W207" s="340"/>
      <c r="X207" s="340"/>
      <c r="Y207" s="340"/>
      <c r="Z207" s="340"/>
      <c r="AA207" s="340"/>
      <c r="AB207" s="257" t="str">
        <f t="shared" si="92"/>
        <v>use the locking pin</v>
      </c>
      <c r="AC207" s="377"/>
      <c r="AD207" s="377"/>
      <c r="AE207" s="377"/>
      <c r="AF207" s="966">
        <f>SUM(V207:V226)/($B$198-B206)</f>
        <v>0</v>
      </c>
      <c r="AG207" s="971"/>
      <c r="AH207" s="353">
        <f>SUM(D202:D207)+$C$201</f>
        <v>8</v>
      </c>
      <c r="AI207" s="944"/>
      <c r="AJ207" s="575">
        <f t="shared" si="93"/>
        <v>67.499008599999996</v>
      </c>
      <c r="AK207" s="944">
        <f t="shared" si="85"/>
        <v>0.92387291072723265</v>
      </c>
      <c r="AL207" s="944">
        <f t="shared" si="94"/>
        <v>268.5170724412709</v>
      </c>
      <c r="AM207" s="968">
        <f t="shared" si="95"/>
        <v>65.181912400000002</v>
      </c>
      <c r="AN207" s="944">
        <f t="shared" si="96"/>
        <v>0.9076450172391024</v>
      </c>
      <c r="AO207" s="969">
        <f t="shared" si="97"/>
        <v>227.88531352821613</v>
      </c>
      <c r="AP207" s="251"/>
      <c r="AQ207" s="347">
        <f t="shared" si="98"/>
        <v>-146.5</v>
      </c>
      <c r="AR207" s="347"/>
      <c r="AS207" s="348">
        <f t="shared" si="99"/>
        <v>496.402385969487</v>
      </c>
      <c r="AT207" s="348">
        <f t="shared" si="107"/>
        <v>-227.88531352821613</v>
      </c>
      <c r="AU207" s="348"/>
      <c r="AV207" s="350">
        <f t="shared" si="106"/>
        <v>227.88531352821613</v>
      </c>
      <c r="AW207" s="350">
        <f t="shared" si="100"/>
        <v>-79.245693059711073</v>
      </c>
      <c r="AX207" s="351">
        <f t="shared" si="101"/>
        <v>-67.254306940288956</v>
      </c>
      <c r="AY207" s="351">
        <f t="shared" si="86"/>
        <v>-146.38019496226099</v>
      </c>
      <c r="AZ207" s="1043">
        <f t="shared" si="87"/>
        <v>-148.68936213822553</v>
      </c>
      <c r="BA207" s="241">
        <f t="shared" si="102"/>
        <v>146.38019496226099</v>
      </c>
      <c r="BB207" s="242">
        <f t="shared" si="102"/>
        <v>148.68936213822553</v>
      </c>
      <c r="BC207">
        <f t="shared" si="103"/>
        <v>0.3</v>
      </c>
      <c r="BE207" s="260">
        <v>35</v>
      </c>
      <c r="BF207" s="261">
        <f t="shared" si="45"/>
        <v>989</v>
      </c>
      <c r="BG207" s="31">
        <f t="shared" si="46"/>
        <v>989</v>
      </c>
      <c r="BH207" s="263">
        <f t="shared" si="42"/>
        <v>761.68989247177615</v>
      </c>
      <c r="BI207" s="264">
        <f t="shared" si="43"/>
        <v>761.68989247177615</v>
      </c>
      <c r="BJ207" s="264">
        <f t="shared" si="47"/>
        <v>12.310107528223824</v>
      </c>
      <c r="BK207" s="264" t="b">
        <f t="shared" si="44"/>
        <v>0</v>
      </c>
      <c r="BL207" s="266">
        <v>35</v>
      </c>
      <c r="DE207" s="269"/>
    </row>
    <row r="208" spans="2:109" ht="21" customHeight="1" thickBot="1" x14ac:dyDescent="0.35">
      <c r="B208" s="244">
        <v>8</v>
      </c>
      <c r="C208" s="245"/>
      <c r="D208" s="16">
        <v>1</v>
      </c>
      <c r="E208" s="234" t="s">
        <v>215</v>
      </c>
      <c r="F208" s="235">
        <f t="shared" si="88"/>
        <v>1.3</v>
      </c>
      <c r="G208" s="235">
        <f t="shared" si="104"/>
        <v>1.3</v>
      </c>
      <c r="H208" s="888">
        <v>251.073172</v>
      </c>
      <c r="I208" s="889">
        <v>65.636175100000003</v>
      </c>
      <c r="J208" s="374">
        <f t="shared" si="89"/>
        <v>64.636175100000003</v>
      </c>
      <c r="K208" s="374">
        <f t="shared" si="90"/>
        <v>32.318087550000001</v>
      </c>
      <c r="L208" s="374">
        <f t="shared" si="78"/>
        <v>0.53461916118589337</v>
      </c>
      <c r="M208" s="374">
        <f t="shared" si="79"/>
        <v>134.22852861092153</v>
      </c>
      <c r="N208" s="374">
        <f t="shared" si="80"/>
        <v>268.45705722184306</v>
      </c>
      <c r="O208" s="374">
        <f>+C201+D202+D203+D204+D205+D206+D207+(D208/2)</f>
        <v>8.5</v>
      </c>
      <c r="P208" s="374">
        <f t="shared" si="81"/>
        <v>0.14780941112961046</v>
      </c>
      <c r="Q208" s="374">
        <f t="shared" si="82"/>
        <v>39.680479541548763</v>
      </c>
      <c r="R208" s="374">
        <f t="shared" si="91"/>
        <v>355.94430294079598</v>
      </c>
      <c r="S208" s="374">
        <f t="shared" si="105"/>
        <v>395.62478248234476</v>
      </c>
      <c r="T208" s="375">
        <f t="shared" si="83"/>
        <v>395.62478248234476</v>
      </c>
      <c r="V208" s="929">
        <f t="shared" si="84"/>
        <v>0</v>
      </c>
      <c r="W208" s="340"/>
      <c r="X208" s="340"/>
      <c r="Y208" s="340"/>
      <c r="Z208" s="340"/>
      <c r="AA208" s="340"/>
      <c r="AB208" s="257" t="str">
        <f t="shared" si="92"/>
        <v>use the locking pin</v>
      </c>
      <c r="AC208" s="377"/>
      <c r="AD208" s="377"/>
      <c r="AE208" s="377"/>
      <c r="AF208" s="966">
        <f>SUM(V208:V226)/($B$198-B207)</f>
        <v>0</v>
      </c>
      <c r="AG208" s="971"/>
      <c r="AH208" s="353">
        <f>SUM(D202:D208)+$C$201</f>
        <v>9</v>
      </c>
      <c r="AI208" s="944"/>
      <c r="AJ208" s="575">
        <f t="shared" si="93"/>
        <v>66.499008599999996</v>
      </c>
      <c r="AK208" s="944">
        <f t="shared" si="85"/>
        <v>0.91705317461526137</v>
      </c>
      <c r="AL208" s="944">
        <f t="shared" si="94"/>
        <v>266.53496477868435</v>
      </c>
      <c r="AM208" s="968">
        <f t="shared" si="95"/>
        <v>66.181912400000002</v>
      </c>
      <c r="AN208" s="944">
        <f t="shared" si="96"/>
        <v>0.91483222778230289</v>
      </c>
      <c r="AO208" s="969">
        <f t="shared" si="97"/>
        <v>229.68982927712932</v>
      </c>
      <c r="AP208" s="251"/>
      <c r="AQ208" s="347">
        <f t="shared" si="98"/>
        <v>-175.8</v>
      </c>
      <c r="AR208" s="347"/>
      <c r="AS208" s="348">
        <f t="shared" si="99"/>
        <v>496.22479405581367</v>
      </c>
      <c r="AT208" s="348">
        <f t="shared" si="107"/>
        <v>-229.68982927712932</v>
      </c>
      <c r="AU208" s="348"/>
      <c r="AV208" s="350">
        <f t="shared" si="106"/>
        <v>229.68982927712932</v>
      </c>
      <c r="AW208" s="350">
        <f t="shared" si="100"/>
        <v>-94.426653745202444</v>
      </c>
      <c r="AX208" s="351">
        <f t="shared" si="101"/>
        <v>-81.373346254797568</v>
      </c>
      <c r="AY208" s="351">
        <f t="shared" si="86"/>
        <v>-122.84667029820872</v>
      </c>
      <c r="AZ208" s="1043">
        <f t="shared" si="87"/>
        <v>-122.89036226540118</v>
      </c>
      <c r="BA208" s="241">
        <f t="shared" si="102"/>
        <v>122.84667029820872</v>
      </c>
      <c r="BB208" s="242">
        <f t="shared" si="102"/>
        <v>122.89036226540118</v>
      </c>
      <c r="BC208">
        <f t="shared" si="103"/>
        <v>0.3</v>
      </c>
      <c r="BE208" s="260">
        <v>36</v>
      </c>
      <c r="BF208" s="261">
        <f t="shared" si="45"/>
        <v>1032</v>
      </c>
      <c r="BG208" s="31">
        <f t="shared" si="46"/>
        <v>1032</v>
      </c>
      <c r="BH208" s="263">
        <f t="shared" si="42"/>
        <v>804.68989247177615</v>
      </c>
      <c r="BI208" s="264">
        <f t="shared" si="43"/>
        <v>804.68989247177615</v>
      </c>
      <c r="BJ208" s="264">
        <f t="shared" si="47"/>
        <v>12.310107528223824</v>
      </c>
      <c r="BK208" s="264" t="b">
        <f t="shared" si="44"/>
        <v>0</v>
      </c>
      <c r="BL208" s="266">
        <v>36</v>
      </c>
    </row>
    <row r="209" spans="1:129" ht="21" customHeight="1" thickBot="1" x14ac:dyDescent="0.35">
      <c r="B209" s="244">
        <v>9</v>
      </c>
      <c r="C209" s="245"/>
      <c r="D209" s="16">
        <v>1</v>
      </c>
      <c r="E209" s="234" t="s">
        <v>215</v>
      </c>
      <c r="F209" s="235">
        <f t="shared" si="88"/>
        <v>1.3</v>
      </c>
      <c r="G209" s="235">
        <f t="shared" si="104"/>
        <v>1.3</v>
      </c>
      <c r="H209" s="888">
        <v>251.073172</v>
      </c>
      <c r="I209" s="889">
        <v>65.636175100000003</v>
      </c>
      <c r="J209" s="374">
        <f t="shared" si="89"/>
        <v>64.636175100000003</v>
      </c>
      <c r="K209" s="374">
        <f t="shared" si="90"/>
        <v>32.318087550000001</v>
      </c>
      <c r="L209" s="374">
        <f t="shared" si="78"/>
        <v>0.53461916118589337</v>
      </c>
      <c r="M209" s="374">
        <f t="shared" si="79"/>
        <v>134.22852861092153</v>
      </c>
      <c r="N209" s="374">
        <f t="shared" si="80"/>
        <v>268.45705722184306</v>
      </c>
      <c r="O209" s="374">
        <f>+C201+D202+D203+D204+D205+D206+D207+D208+(D209/2)</f>
        <v>9.5</v>
      </c>
      <c r="P209" s="374">
        <f t="shared" si="81"/>
        <v>0.16504760586067749</v>
      </c>
      <c r="Q209" s="374">
        <f t="shared" si="82"/>
        <v>44.308194570868096</v>
      </c>
      <c r="R209" s="374">
        <f t="shared" si="91"/>
        <v>395.62478248234476</v>
      </c>
      <c r="S209" s="374">
        <f t="shared" si="105"/>
        <v>439.93297705321288</v>
      </c>
      <c r="T209" s="375">
        <f t="shared" si="83"/>
        <v>439.93297705321288</v>
      </c>
      <c r="V209" s="929">
        <f t="shared" si="84"/>
        <v>0</v>
      </c>
      <c r="W209" s="340"/>
      <c r="X209" s="340"/>
      <c r="Y209" s="340"/>
      <c r="Z209" s="340"/>
      <c r="AA209" s="340"/>
      <c r="AB209" s="257" t="str">
        <f t="shared" si="92"/>
        <v>use the locking pin</v>
      </c>
      <c r="AC209" s="377"/>
      <c r="AD209" s="377"/>
      <c r="AE209" s="377"/>
      <c r="AF209" s="966">
        <f>SUM(V209:V226)/($B$198-B208)</f>
        <v>0</v>
      </c>
      <c r="AG209" s="971"/>
      <c r="AH209" s="353">
        <f>SUM(D202:D209)+$C$201</f>
        <v>10</v>
      </c>
      <c r="AI209" s="944"/>
      <c r="AJ209" s="575">
        <f t="shared" si="93"/>
        <v>65.499008599999996</v>
      </c>
      <c r="AK209" s="944">
        <f t="shared" si="85"/>
        <v>0.90995409522260873</v>
      </c>
      <c r="AL209" s="944">
        <f t="shared" si="94"/>
        <v>264.4716679838441</v>
      </c>
      <c r="AM209" s="968">
        <f t="shared" si="95"/>
        <v>67.181912400000002</v>
      </c>
      <c r="AN209" s="944">
        <f t="shared" si="96"/>
        <v>0.92174077156674206</v>
      </c>
      <c r="AO209" s="969">
        <f t="shared" si="97"/>
        <v>231.42437927898933</v>
      </c>
      <c r="AP209" s="251"/>
      <c r="AQ209" s="347">
        <f t="shared" si="98"/>
        <v>-205.1</v>
      </c>
      <c r="AR209" s="347"/>
      <c r="AS209" s="348">
        <f t="shared" si="99"/>
        <v>495.89604726283346</v>
      </c>
      <c r="AT209" s="348">
        <f t="shared" si="107"/>
        <v>-231.42437927898933</v>
      </c>
      <c r="AU209" s="348"/>
      <c r="AV209" s="350">
        <f t="shared" si="106"/>
        <v>231.42437927898933</v>
      </c>
      <c r="AW209" s="350">
        <f t="shared" si="100"/>
        <v>-109.38409249859703</v>
      </c>
      <c r="AX209" s="351">
        <f t="shared" si="101"/>
        <v>-95.715907501402938</v>
      </c>
      <c r="AY209" s="351">
        <f t="shared" si="86"/>
        <v>-106.04832690958955</v>
      </c>
      <c r="AZ209" s="1043">
        <f t="shared" si="87"/>
        <v>-104.47584169698675</v>
      </c>
      <c r="BA209" s="241">
        <f t="shared" si="102"/>
        <v>106.04832690958955</v>
      </c>
      <c r="BB209" s="242">
        <f t="shared" si="102"/>
        <v>104.47584169698675</v>
      </c>
      <c r="BC209">
        <f t="shared" si="103"/>
        <v>0.3</v>
      </c>
      <c r="BE209" s="270">
        <v>37</v>
      </c>
      <c r="BF209" s="271">
        <f t="shared" si="45"/>
        <v>1075</v>
      </c>
      <c r="BG209" s="31">
        <f t="shared" si="46"/>
        <v>1075</v>
      </c>
      <c r="BH209" s="263">
        <f t="shared" si="42"/>
        <v>847.68989247177615</v>
      </c>
      <c r="BI209" s="264">
        <f t="shared" si="43"/>
        <v>847.68989247177615</v>
      </c>
      <c r="BJ209" s="264">
        <f t="shared" si="47"/>
        <v>12.310107528223824</v>
      </c>
      <c r="BK209" s="264" t="b">
        <f t="shared" si="44"/>
        <v>0</v>
      </c>
      <c r="BL209" s="272">
        <v>37</v>
      </c>
    </row>
    <row r="210" spans="1:129" ht="21" customHeight="1" thickBot="1" x14ac:dyDescent="0.25">
      <c r="B210" s="244">
        <v>10</v>
      </c>
      <c r="C210" s="245"/>
      <c r="D210" s="16">
        <v>1</v>
      </c>
      <c r="E210" s="234" t="s">
        <v>215</v>
      </c>
      <c r="F210" s="235">
        <f t="shared" si="88"/>
        <v>1.3</v>
      </c>
      <c r="G210" s="235">
        <f t="shared" si="104"/>
        <v>1.3</v>
      </c>
      <c r="H210" s="888">
        <v>251.073172</v>
      </c>
      <c r="I210" s="889">
        <v>65.636175100000003</v>
      </c>
      <c r="J210" s="374">
        <f t="shared" si="89"/>
        <v>64.636175100000003</v>
      </c>
      <c r="K210" s="374">
        <f t="shared" si="90"/>
        <v>32.318087550000001</v>
      </c>
      <c r="L210" s="374">
        <f t="shared" si="78"/>
        <v>0.53461916118589337</v>
      </c>
      <c r="M210" s="374">
        <f t="shared" si="79"/>
        <v>134.22852861092153</v>
      </c>
      <c r="N210" s="374">
        <f t="shared" si="80"/>
        <v>268.45705722184306</v>
      </c>
      <c r="O210" s="374">
        <f>+C201+D202+D203+D204+D205+D206+D207+D208+D209+(D210/2)</f>
        <v>10.5</v>
      </c>
      <c r="P210" s="374">
        <f t="shared" si="81"/>
        <v>0.18223552549214728</v>
      </c>
      <c r="Q210" s="374">
        <f t="shared" si="82"/>
        <v>48.922412894898024</v>
      </c>
      <c r="R210" s="374">
        <f t="shared" si="91"/>
        <v>439.93297705321288</v>
      </c>
      <c r="S210" s="374">
        <f t="shared" si="105"/>
        <v>488.85538994811088</v>
      </c>
      <c r="T210" s="375">
        <f t="shared" si="83"/>
        <v>488.85538994811088</v>
      </c>
      <c r="V210" s="929">
        <f t="shared" si="84"/>
        <v>0</v>
      </c>
      <c r="W210" s="340"/>
      <c r="X210" s="340"/>
      <c r="Y210" s="340"/>
      <c r="Z210" s="340"/>
      <c r="AA210" s="340"/>
      <c r="AB210" s="257" t="str">
        <f t="shared" si="92"/>
        <v>use the locking pin</v>
      </c>
      <c r="AC210" s="377"/>
      <c r="AD210" s="377"/>
      <c r="AE210" s="377"/>
      <c r="AF210" s="966">
        <f>SUM(V210:V226)/($B$198-B209)</f>
        <v>0</v>
      </c>
      <c r="AG210" s="971"/>
      <c r="AH210" s="353">
        <f>SUM(D202:D210)+$C$201</f>
        <v>11</v>
      </c>
      <c r="AI210" s="944"/>
      <c r="AJ210" s="575">
        <f t="shared" si="93"/>
        <v>64.499008599999996</v>
      </c>
      <c r="AK210" s="944">
        <f t="shared" si="85"/>
        <v>0.902577834997628</v>
      </c>
      <c r="AL210" s="944">
        <f t="shared" si="94"/>
        <v>262.32781055694142</v>
      </c>
      <c r="AM210" s="968">
        <f t="shared" si="95"/>
        <v>68.181912400000002</v>
      </c>
      <c r="AN210" s="944">
        <f t="shared" si="96"/>
        <v>0.9283685441830587</v>
      </c>
      <c r="AO210" s="969">
        <f t="shared" si="97"/>
        <v>233.08843517306269</v>
      </c>
      <c r="AP210" s="251"/>
      <c r="AQ210" s="347">
        <f t="shared" si="98"/>
        <v>-234.4</v>
      </c>
      <c r="AR210" s="347"/>
      <c r="AS210" s="348">
        <f t="shared" si="99"/>
        <v>495.41624573000411</v>
      </c>
      <c r="AT210" s="348">
        <f t="shared" si="107"/>
        <v>-233.08843517306269</v>
      </c>
      <c r="AU210" s="348"/>
      <c r="AV210" s="350">
        <f t="shared" si="106"/>
        <v>233.08843517306269</v>
      </c>
      <c r="AW210" s="350">
        <f t="shared" si="100"/>
        <v>-124.11712236836533</v>
      </c>
      <c r="AX210" s="351">
        <f t="shared" si="101"/>
        <v>-110.28287763163468</v>
      </c>
      <c r="AY210" s="351">
        <f t="shared" si="86"/>
        <v>-93.460110729706855</v>
      </c>
      <c r="AZ210" s="1043">
        <f t="shared" si="87"/>
        <v>-90.675907400619892</v>
      </c>
      <c r="BA210" s="241">
        <f t="shared" si="102"/>
        <v>93.460110729706855</v>
      </c>
      <c r="BB210" s="242">
        <f t="shared" si="102"/>
        <v>90.675907400619892</v>
      </c>
      <c r="BC210">
        <f t="shared" si="103"/>
        <v>0.3</v>
      </c>
    </row>
    <row r="211" spans="1:129" ht="21" customHeight="1" thickBot="1" x14ac:dyDescent="0.25">
      <c r="A211" s="258"/>
      <c r="B211" s="244">
        <v>11</v>
      </c>
      <c r="C211" s="245"/>
      <c r="D211" s="16">
        <v>1</v>
      </c>
      <c r="E211" s="234" t="s">
        <v>215</v>
      </c>
      <c r="F211" s="235">
        <f t="shared" si="88"/>
        <v>1.3</v>
      </c>
      <c r="G211" s="235">
        <f t="shared" si="104"/>
        <v>1.3</v>
      </c>
      <c r="H211" s="888">
        <v>251.073172</v>
      </c>
      <c r="I211" s="889">
        <v>65.636175100000003</v>
      </c>
      <c r="J211" s="374">
        <f t="shared" si="89"/>
        <v>64.636175100000003</v>
      </c>
      <c r="K211" s="374">
        <f t="shared" si="90"/>
        <v>32.318087550000001</v>
      </c>
      <c r="L211" s="374">
        <f t="shared" si="78"/>
        <v>0.53461916118589337</v>
      </c>
      <c r="M211" s="374">
        <f t="shared" si="79"/>
        <v>134.22852861092153</v>
      </c>
      <c r="N211" s="374">
        <f t="shared" si="80"/>
        <v>268.45705722184306</v>
      </c>
      <c r="O211" s="374">
        <f>+C201+D202+D203+D204+D205+D206+D207+D208+D209+D210+(D211/2)</f>
        <v>11.5</v>
      </c>
      <c r="P211" s="374">
        <f t="shared" si="81"/>
        <v>0.19936793441719697</v>
      </c>
      <c r="Q211" s="374">
        <f t="shared" si="82"/>
        <v>53.521728978038098</v>
      </c>
      <c r="R211" s="374">
        <f t="shared" si="91"/>
        <v>488.85538994811088</v>
      </c>
      <c r="S211" s="374">
        <f t="shared" si="105"/>
        <v>542.37711892614902</v>
      </c>
      <c r="T211" s="375">
        <f t="shared" si="83"/>
        <v>542.37711892614902</v>
      </c>
      <c r="V211" s="929">
        <f t="shared" si="84"/>
        <v>0</v>
      </c>
      <c r="W211" s="340"/>
      <c r="X211" s="340"/>
      <c r="Y211" s="340"/>
      <c r="Z211" s="340"/>
      <c r="AA211" s="340"/>
      <c r="AB211" s="257" t="str">
        <f t="shared" si="92"/>
        <v>use the locking pin</v>
      </c>
      <c r="AC211" s="377"/>
      <c r="AD211" s="377"/>
      <c r="AE211" s="377"/>
      <c r="AF211" s="966">
        <f>SUM(V211:V226)/($B$198-B210)</f>
        <v>0</v>
      </c>
      <c r="AG211" s="971"/>
      <c r="AH211" s="353">
        <f>SUM(D202:D211)+$C$201</f>
        <v>12</v>
      </c>
      <c r="AI211" s="944"/>
      <c r="AJ211" s="575">
        <f t="shared" si="93"/>
        <v>63.499008599999996</v>
      </c>
      <c r="AK211" s="944">
        <f t="shared" si="85"/>
        <v>0.89492664082063922</v>
      </c>
      <c r="AL211" s="944">
        <f t="shared" si="94"/>
        <v>260.1040455377165</v>
      </c>
      <c r="AM211" s="968">
        <f t="shared" si="95"/>
        <v>69.181912400000002</v>
      </c>
      <c r="AN211" s="944">
        <f t="shared" si="96"/>
        <v>0.93471352674750907</v>
      </c>
      <c r="AO211" s="969">
        <f t="shared" si="97"/>
        <v>234.68149007180395</v>
      </c>
      <c r="AP211" s="251"/>
      <c r="AQ211" s="347">
        <f t="shared" si="98"/>
        <v>-263.7</v>
      </c>
      <c r="AR211" s="347"/>
      <c r="AS211" s="348">
        <f t="shared" si="99"/>
        <v>494.78553560952048</v>
      </c>
      <c r="AT211" s="348">
        <f t="shared" si="107"/>
        <v>-234.68149007180395</v>
      </c>
      <c r="AU211" s="348"/>
      <c r="AV211" s="350">
        <f t="shared" si="106"/>
        <v>234.68149007180395</v>
      </c>
      <c r="AW211" s="350">
        <f t="shared" si="100"/>
        <v>-138.62457948331354</v>
      </c>
      <c r="AX211" s="351">
        <f t="shared" si="101"/>
        <v>-125.07542051668642</v>
      </c>
      <c r="AY211" s="351">
        <f t="shared" si="86"/>
        <v>-83.679243920781815</v>
      </c>
      <c r="AZ211" s="1043">
        <f t="shared" si="87"/>
        <v>-79.951759975621201</v>
      </c>
      <c r="BA211" s="241">
        <f t="shared" si="102"/>
        <v>83.679243920781815</v>
      </c>
      <c r="BB211" s="242">
        <f t="shared" si="102"/>
        <v>79.951759975621201</v>
      </c>
      <c r="BC211">
        <f t="shared" si="103"/>
        <v>0.3</v>
      </c>
    </row>
    <row r="212" spans="1:129" ht="21" customHeight="1" thickBot="1" x14ac:dyDescent="0.25">
      <c r="A212" s="258"/>
      <c r="B212" s="244">
        <v>12</v>
      </c>
      <c r="C212" s="245"/>
      <c r="D212" s="16">
        <v>1</v>
      </c>
      <c r="E212" s="234" t="s">
        <v>215</v>
      </c>
      <c r="F212" s="235">
        <f t="shared" si="88"/>
        <v>1.3</v>
      </c>
      <c r="G212" s="235">
        <f t="shared" si="104"/>
        <v>1.3</v>
      </c>
      <c r="H212" s="888">
        <v>251.073172</v>
      </c>
      <c r="I212" s="889">
        <v>65.636175100000003</v>
      </c>
      <c r="J212" s="374">
        <f t="shared" si="89"/>
        <v>64.636175100000003</v>
      </c>
      <c r="K212" s="374">
        <f t="shared" si="90"/>
        <v>32.318087550000001</v>
      </c>
      <c r="L212" s="374">
        <f t="shared" si="78"/>
        <v>0.53461916118589337</v>
      </c>
      <c r="M212" s="374">
        <f t="shared" si="79"/>
        <v>134.22852861092153</v>
      </c>
      <c r="N212" s="374">
        <f t="shared" si="80"/>
        <v>268.45705722184306</v>
      </c>
      <c r="O212" s="374">
        <f>+C201+D202+D203+D204+D205+D206+D207+D208+D209+D210+D211+(D212/2)</f>
        <v>12.5</v>
      </c>
      <c r="P212" s="374">
        <f t="shared" si="81"/>
        <v>0.21643961393810265</v>
      </c>
      <c r="Q212" s="374">
        <f t="shared" si="82"/>
        <v>58.104741824054848</v>
      </c>
      <c r="R212" s="374">
        <f t="shared" si="91"/>
        <v>542.37711892614902</v>
      </c>
      <c r="S212" s="374">
        <f t="shared" si="105"/>
        <v>600.48186075020385</v>
      </c>
      <c r="T212" s="375">
        <f t="shared" si="83"/>
        <v>600.48186075020385</v>
      </c>
      <c r="V212" s="929">
        <f t="shared" si="84"/>
        <v>0</v>
      </c>
      <c r="W212" s="340"/>
      <c r="X212" s="340"/>
      <c r="Y212" s="340"/>
      <c r="Z212" s="340"/>
      <c r="AA212" s="340"/>
      <c r="AB212" s="257" t="str">
        <f t="shared" si="92"/>
        <v>use the locking pin</v>
      </c>
      <c r="AC212" s="377"/>
      <c r="AD212" s="377"/>
      <c r="AE212" s="377"/>
      <c r="AF212" s="966">
        <f>SUM(V212:V226)/($B$198-B211)</f>
        <v>0</v>
      </c>
      <c r="AG212" s="971"/>
      <c r="AH212" s="353">
        <f>SUM(D202:D212)+$C$201</f>
        <v>13</v>
      </c>
      <c r="AI212" s="944"/>
      <c r="AJ212" s="575">
        <f t="shared" si="93"/>
        <v>62.499008599999996</v>
      </c>
      <c r="AK212" s="944">
        <f t="shared" si="85"/>
        <v>0.88700284331950752</v>
      </c>
      <c r="AL212" s="944">
        <f t="shared" si="94"/>
        <v>257.8010503065363</v>
      </c>
      <c r="AM212" s="968">
        <f t="shared" si="95"/>
        <v>70.181912400000002</v>
      </c>
      <c r="AN212" s="944">
        <f t="shared" si="96"/>
        <v>0.94077378651693899</v>
      </c>
      <c r="AO212" s="969">
        <f t="shared" si="97"/>
        <v>236.20305871525869</v>
      </c>
      <c r="AP212" s="251"/>
      <c r="AQ212" s="347">
        <f t="shared" si="98"/>
        <v>-293</v>
      </c>
      <c r="AR212" s="347"/>
      <c r="AS212" s="348">
        <f t="shared" si="99"/>
        <v>494.00410902179499</v>
      </c>
      <c r="AT212" s="348">
        <f t="shared" si="107"/>
        <v>-236.20305871525869</v>
      </c>
      <c r="AU212" s="348"/>
      <c r="AV212" s="350">
        <f t="shared" si="106"/>
        <v>236.20305871525869</v>
      </c>
      <c r="AW212" s="350">
        <f t="shared" si="100"/>
        <v>-152.90501912906674</v>
      </c>
      <c r="AX212" s="351">
        <f t="shared" si="101"/>
        <v>-140.09498087093326</v>
      </c>
      <c r="AY212" s="351">
        <f t="shared" si="86"/>
        <v>-75.864089132407543</v>
      </c>
      <c r="AZ212" s="1043">
        <f t="shared" si="87"/>
        <v>-71.38014465495236</v>
      </c>
      <c r="BA212" s="241">
        <f t="shared" si="102"/>
        <v>75.864089132407543</v>
      </c>
      <c r="BB212" s="242">
        <f t="shared" si="102"/>
        <v>71.38014465495236</v>
      </c>
      <c r="BC212">
        <f t="shared" si="103"/>
        <v>0.3</v>
      </c>
    </row>
    <row r="213" spans="1:129" ht="21" customHeight="1" thickBot="1" x14ac:dyDescent="0.25">
      <c r="B213" s="244">
        <v>13</v>
      </c>
      <c r="C213" s="245"/>
      <c r="D213" s="16">
        <v>1</v>
      </c>
      <c r="E213" s="234" t="s">
        <v>215</v>
      </c>
      <c r="F213" s="235">
        <f t="shared" si="88"/>
        <v>1.3</v>
      </c>
      <c r="G213" s="235">
        <f t="shared" si="104"/>
        <v>1.3</v>
      </c>
      <c r="H213" s="888">
        <v>251.073172</v>
      </c>
      <c r="I213" s="889">
        <v>65.636175100000003</v>
      </c>
      <c r="J213" s="374">
        <f t="shared" si="89"/>
        <v>64.636175100000003</v>
      </c>
      <c r="K213" s="374">
        <f t="shared" si="90"/>
        <v>32.318087550000001</v>
      </c>
      <c r="L213" s="374">
        <f t="shared" si="78"/>
        <v>0.53461916118589337</v>
      </c>
      <c r="M213" s="374">
        <f t="shared" si="79"/>
        <v>134.22852861092153</v>
      </c>
      <c r="N213" s="374">
        <f t="shared" si="80"/>
        <v>268.45705722184306</v>
      </c>
      <c r="O213" s="374">
        <f>+C201+D202+D203+D204+D205+D206+D207+D208+D209+D210+D211+D212+(D213/2)</f>
        <v>13.5</v>
      </c>
      <c r="P213" s="374">
        <f t="shared" si="81"/>
        <v>0.23344536385590517</v>
      </c>
      <c r="Q213" s="374">
        <f t="shared" si="82"/>
        <v>62.670055402838706</v>
      </c>
      <c r="R213" s="374">
        <f t="shared" si="91"/>
        <v>600.48186075020385</v>
      </c>
      <c r="S213" s="374">
        <f t="shared" si="105"/>
        <v>663.15191615304252</v>
      </c>
      <c r="T213" s="375">
        <f t="shared" si="83"/>
        <v>663.15191615304252</v>
      </c>
      <c r="V213" s="929">
        <f t="shared" si="84"/>
        <v>0</v>
      </c>
      <c r="W213" s="340"/>
      <c r="X213" s="340"/>
      <c r="Y213" s="340"/>
      <c r="Z213" s="340"/>
      <c r="AA213" s="340"/>
      <c r="AB213" s="257" t="str">
        <f t="shared" si="92"/>
        <v>use the locking pin</v>
      </c>
      <c r="AC213" s="377"/>
      <c r="AD213" s="377"/>
      <c r="AE213" s="377"/>
      <c r="AF213" s="966">
        <f>SUM(V213:V226)/($B$198-B212)</f>
        <v>0</v>
      </c>
      <c r="AG213" s="971"/>
      <c r="AH213" s="353">
        <f>SUM(D202:D213)+$C$201</f>
        <v>14</v>
      </c>
      <c r="AI213" s="944"/>
      <c r="AJ213" s="575">
        <f t="shared" si="93"/>
        <v>61.499008599999996</v>
      </c>
      <c r="AK213" s="944">
        <f t="shared" si="85"/>
        <v>0.87880885615971105</v>
      </c>
      <c r="AL213" s="944">
        <f t="shared" si="94"/>
        <v>255.4195263780579</v>
      </c>
      <c r="AM213" s="968">
        <f t="shared" si="95"/>
        <v>71.181912400000002</v>
      </c>
      <c r="AN213" s="944">
        <f t="shared" si="96"/>
        <v>0.94654747747751544</v>
      </c>
      <c r="AO213" s="969">
        <f t="shared" si="97"/>
        <v>237.65267761887836</v>
      </c>
      <c r="AP213" s="251"/>
      <c r="AQ213" s="347">
        <f t="shared" si="98"/>
        <v>-322.3</v>
      </c>
      <c r="AR213" s="347"/>
      <c r="AS213" s="348">
        <f t="shared" si="99"/>
        <v>493.07220399693625</v>
      </c>
      <c r="AT213" s="348">
        <f t="shared" si="107"/>
        <v>-237.65267761887836</v>
      </c>
      <c r="AU213" s="348"/>
      <c r="AV213" s="350">
        <f t="shared" si="106"/>
        <v>237.65267761887836</v>
      </c>
      <c r="AW213" s="350">
        <f t="shared" si="100"/>
        <v>-166.95671077041604</v>
      </c>
      <c r="AX213" s="351">
        <f t="shared" si="101"/>
        <v>-155.34328922958397</v>
      </c>
      <c r="AY213" s="351">
        <f t="shared" si="86"/>
        <v>-69.479088001148298</v>
      </c>
      <c r="AZ213" s="1043">
        <f t="shared" si="87"/>
        <v>-64.373556460626133</v>
      </c>
      <c r="BA213" s="241">
        <f t="shared" si="102"/>
        <v>69.479088001148298</v>
      </c>
      <c r="BB213" s="242">
        <f t="shared" si="102"/>
        <v>64.373556460626133</v>
      </c>
      <c r="BC213">
        <f t="shared" si="103"/>
        <v>0.3</v>
      </c>
    </row>
    <row r="214" spans="1:129" ht="21" customHeight="1" thickBot="1" x14ac:dyDescent="0.25">
      <c r="B214" s="244">
        <v>14</v>
      </c>
      <c r="C214" s="245"/>
      <c r="D214" s="16">
        <v>1</v>
      </c>
      <c r="E214" s="234" t="s">
        <v>215</v>
      </c>
      <c r="F214" s="235">
        <f t="shared" si="88"/>
        <v>1.3</v>
      </c>
      <c r="G214" s="235">
        <f t="shared" si="104"/>
        <v>1.3</v>
      </c>
      <c r="H214" s="888">
        <v>251.073172</v>
      </c>
      <c r="I214" s="889">
        <v>65.636175100000003</v>
      </c>
      <c r="J214" s="374">
        <f t="shared" si="89"/>
        <v>64.636175100000003</v>
      </c>
      <c r="K214" s="374">
        <f t="shared" si="90"/>
        <v>32.318087550000001</v>
      </c>
      <c r="L214" s="374">
        <f t="shared" si="78"/>
        <v>0.53461916118589337</v>
      </c>
      <c r="M214" s="374">
        <f t="shared" si="79"/>
        <v>134.22852861092153</v>
      </c>
      <c r="N214" s="374">
        <f t="shared" si="80"/>
        <v>268.45705722184306</v>
      </c>
      <c r="O214" s="374">
        <f>+C201+D202+D203+D204+D205+D206+D207+D208+D209+D210+D211+D212+D213+(D214/2)</f>
        <v>14.5</v>
      </c>
      <c r="P214" s="374">
        <f t="shared" si="81"/>
        <v>0.25038000405444116</v>
      </c>
      <c r="Q214" s="374">
        <f t="shared" si="82"/>
        <v>67.216279075648401</v>
      </c>
      <c r="R214" s="374">
        <f t="shared" si="91"/>
        <v>663.15191615304252</v>
      </c>
      <c r="S214" s="374">
        <f t="shared" si="105"/>
        <v>730.36819522869087</v>
      </c>
      <c r="T214" s="375">
        <f t="shared" si="83"/>
        <v>730.36819522869087</v>
      </c>
      <c r="V214" s="929">
        <f t="shared" si="84"/>
        <v>0</v>
      </c>
      <c r="W214" s="340"/>
      <c r="X214" s="340"/>
      <c r="Y214" s="340"/>
      <c r="Z214" s="340"/>
      <c r="AA214" s="340"/>
      <c r="AB214" s="257" t="str">
        <f t="shared" si="92"/>
        <v>use the locking pin</v>
      </c>
      <c r="AC214" s="377"/>
      <c r="AD214" s="377"/>
      <c r="AE214" s="377"/>
      <c r="AF214" s="966">
        <f>SUM(V214:V226)/($B$198-B213)</f>
        <v>0</v>
      </c>
      <c r="AG214" s="971"/>
      <c r="AH214" s="353">
        <f>SUM(D202:D214)+$C$201</f>
        <v>15</v>
      </c>
      <c r="AI214" s="944"/>
      <c r="AJ214" s="575">
        <f t="shared" si="93"/>
        <v>60.499008599999996</v>
      </c>
      <c r="AK214" s="944">
        <f t="shared" si="85"/>
        <v>0.87034717530911587</v>
      </c>
      <c r="AL214" s="944">
        <f t="shared" si="94"/>
        <v>252.96019918754024</v>
      </c>
      <c r="AM214" s="968">
        <f t="shared" si="95"/>
        <v>72.181912400000002</v>
      </c>
      <c r="AN214" s="944">
        <f t="shared" si="96"/>
        <v>0.95203284090704099</v>
      </c>
      <c r="AO214" s="969">
        <f t="shared" si="97"/>
        <v>239.02990521470213</v>
      </c>
      <c r="AP214" s="251"/>
      <c r="AQ214" s="347">
        <f t="shared" si="98"/>
        <v>-351.6</v>
      </c>
      <c r="AR214" s="347"/>
      <c r="AS214" s="348">
        <f t="shared" si="99"/>
        <v>491.99010440224237</v>
      </c>
      <c r="AT214" s="348">
        <f t="shared" si="107"/>
        <v>-239.02990521470213</v>
      </c>
      <c r="AU214" s="348"/>
      <c r="AV214" s="350">
        <f t="shared" si="106"/>
        <v>239.02990521470213</v>
      </c>
      <c r="AW214" s="350">
        <f t="shared" si="100"/>
        <v>-180.77763198591231</v>
      </c>
      <c r="AX214" s="351">
        <f t="shared" si="101"/>
        <v>-170.82236801408769</v>
      </c>
      <c r="AY214" s="351">
        <f t="shared" si="86"/>
        <v>-64.16723060574202</v>
      </c>
      <c r="AZ214" s="1043">
        <f t="shared" si="87"/>
        <v>-58.540342908578005</v>
      </c>
      <c r="BA214" s="241">
        <f t="shared" si="102"/>
        <v>64.16723060574202</v>
      </c>
      <c r="BB214" s="242">
        <f t="shared" si="102"/>
        <v>58.540342908578005</v>
      </c>
      <c r="BC214">
        <f t="shared" si="103"/>
        <v>0.3</v>
      </c>
    </row>
    <row r="215" spans="1:129" ht="21" customHeight="1" thickBot="1" x14ac:dyDescent="0.25">
      <c r="B215" s="244">
        <v>15</v>
      </c>
      <c r="C215" s="245"/>
      <c r="D215" s="16">
        <v>1</v>
      </c>
      <c r="E215" s="234" t="s">
        <v>215</v>
      </c>
      <c r="F215" s="235">
        <f t="shared" si="88"/>
        <v>1.3</v>
      </c>
      <c r="G215" s="235">
        <f t="shared" si="104"/>
        <v>1.3</v>
      </c>
      <c r="H215" s="888">
        <v>251.073172</v>
      </c>
      <c r="I215" s="889">
        <v>65.636175100000003</v>
      </c>
      <c r="J215" s="374">
        <f t="shared" si="89"/>
        <v>64.636175100000003</v>
      </c>
      <c r="K215" s="374">
        <f t="shared" si="90"/>
        <v>32.318087550000001</v>
      </c>
      <c r="L215" s="374">
        <f t="shared" si="78"/>
        <v>0.53461916118589337</v>
      </c>
      <c r="M215" s="374">
        <f t="shared" si="79"/>
        <v>134.22852861092153</v>
      </c>
      <c r="N215" s="374">
        <f t="shared" si="80"/>
        <v>268.45705722184306</v>
      </c>
      <c r="O215" s="374">
        <f>+C201+D202+D203+D204+D205+D206+D207+D208+D209+D210+D211+D212+D213+D214+(D215/2)</f>
        <v>15.5</v>
      </c>
      <c r="P215" s="374">
        <f t="shared" si="81"/>
        <v>0.26723837607825657</v>
      </c>
      <c r="Q215" s="374">
        <f t="shared" si="82"/>
        <v>71.742028018712944</v>
      </c>
      <c r="R215" s="374">
        <f t="shared" si="91"/>
        <v>730.36819522869087</v>
      </c>
      <c r="S215" s="374">
        <f t="shared" si="105"/>
        <v>802.11022324740384</v>
      </c>
      <c r="T215" s="375">
        <f t="shared" si="83"/>
        <v>802.11022324740384</v>
      </c>
      <c r="V215" s="929">
        <f t="shared" si="84"/>
        <v>0</v>
      </c>
      <c r="W215" s="340"/>
      <c r="X215" s="340"/>
      <c r="Y215" s="340"/>
      <c r="Z215" s="340"/>
      <c r="AA215" s="340"/>
      <c r="AB215" s="257" t="str">
        <f t="shared" si="92"/>
        <v>use the locking pin</v>
      </c>
      <c r="AC215" s="377"/>
      <c r="AD215" s="377"/>
      <c r="AE215" s="377"/>
      <c r="AF215" s="966">
        <f>SUM(V215:V226)/($B$198-B214)</f>
        <v>0</v>
      </c>
      <c r="AG215" s="971"/>
      <c r="AH215" s="353">
        <f>SUM(D202:D215)+$C$201</f>
        <v>16</v>
      </c>
      <c r="AI215" s="944"/>
      <c r="AJ215" s="575">
        <f t="shared" si="93"/>
        <v>59.499008599999996</v>
      </c>
      <c r="AK215" s="944">
        <f t="shared" si="85"/>
        <v>0.86162037827767901</v>
      </c>
      <c r="AL215" s="944">
        <f t="shared" si="94"/>
        <v>250.42381786986954</v>
      </c>
      <c r="AM215" s="968">
        <f t="shared" si="95"/>
        <v>73.181912400000002</v>
      </c>
      <c r="AN215" s="944">
        <f t="shared" si="96"/>
        <v>0.95722820591067703</v>
      </c>
      <c r="AO215" s="969">
        <f t="shared" si="97"/>
        <v>240.33432198586283</v>
      </c>
      <c r="AP215" s="251"/>
      <c r="AQ215" s="347">
        <f t="shared" si="98"/>
        <v>-380.90000000000003</v>
      </c>
      <c r="AR215" s="347"/>
      <c r="AS215" s="348">
        <f t="shared" si="99"/>
        <v>490.75813985573234</v>
      </c>
      <c r="AT215" s="348">
        <f t="shared" si="107"/>
        <v>-240.33432198586283</v>
      </c>
      <c r="AU215" s="348"/>
      <c r="AV215" s="350">
        <f t="shared" si="106"/>
        <v>240.33432198586283</v>
      </c>
      <c r="AW215" s="350">
        <f t="shared" si="100"/>
        <v>-194.36546127319244</v>
      </c>
      <c r="AX215" s="351">
        <f t="shared" si="101"/>
        <v>-186.5345387268076</v>
      </c>
      <c r="AY215" s="351">
        <f t="shared" si="86"/>
        <v>-59.681385386138622</v>
      </c>
      <c r="AZ215" s="1043">
        <f t="shared" si="87"/>
        <v>-53.609374801337324</v>
      </c>
      <c r="BA215" s="241">
        <f t="shared" si="102"/>
        <v>59.681385386138622</v>
      </c>
      <c r="BB215" s="242">
        <f t="shared" si="102"/>
        <v>53.609374801337324</v>
      </c>
      <c r="BC215">
        <f t="shared" si="103"/>
        <v>0.3</v>
      </c>
    </row>
    <row r="216" spans="1:129" ht="21" customHeight="1" thickBot="1" x14ac:dyDescent="0.25">
      <c r="B216" s="244">
        <v>16</v>
      </c>
      <c r="C216" s="245"/>
      <c r="D216" s="16">
        <v>1</v>
      </c>
      <c r="E216" s="234" t="s">
        <v>215</v>
      </c>
      <c r="F216" s="235">
        <f t="shared" si="88"/>
        <v>1.3</v>
      </c>
      <c r="G216" s="235">
        <f t="shared" si="104"/>
        <v>1.3</v>
      </c>
      <c r="H216" s="888">
        <v>251.073172</v>
      </c>
      <c r="I216" s="889">
        <v>65.636175100000003</v>
      </c>
      <c r="J216" s="374">
        <f t="shared" si="89"/>
        <v>64.636175100000003</v>
      </c>
      <c r="K216" s="374">
        <f t="shared" si="90"/>
        <v>32.318087550000001</v>
      </c>
      <c r="L216" s="374">
        <f t="shared" si="78"/>
        <v>0.53461916118589337</v>
      </c>
      <c r="M216" s="374">
        <f t="shared" si="79"/>
        <v>134.22852861092153</v>
      </c>
      <c r="N216" s="374">
        <f t="shared" si="80"/>
        <v>268.45705722184306</v>
      </c>
      <c r="O216" s="374">
        <f>+C201+D202+D203+D204+D205+D206+D207+D208+D209+D210+D211+D212+D213+D214+D215+(D216/2)</f>
        <v>16.5</v>
      </c>
      <c r="P216" s="374">
        <f t="shared" si="81"/>
        <v>0.28401534470392237</v>
      </c>
      <c r="Q216" s="374">
        <f t="shared" si="82"/>
        <v>76.245923645062362</v>
      </c>
      <c r="R216" s="374">
        <f t="shared" si="91"/>
        <v>802.11022324740384</v>
      </c>
      <c r="S216" s="374">
        <f t="shared" si="105"/>
        <v>878.3561468924662</v>
      </c>
      <c r="T216" s="375">
        <f t="shared" si="83"/>
        <v>878.3561468924662</v>
      </c>
      <c r="V216" s="929">
        <f t="shared" si="84"/>
        <v>0</v>
      </c>
      <c r="W216" s="340"/>
      <c r="X216" s="340"/>
      <c r="Y216" s="340"/>
      <c r="Z216" s="340"/>
      <c r="AA216" s="340"/>
      <c r="AB216" s="257" t="str">
        <f t="shared" si="92"/>
        <v>use the locking pin</v>
      </c>
      <c r="AC216" s="377"/>
      <c r="AD216" s="377"/>
      <c r="AE216" s="377"/>
      <c r="AF216" s="966">
        <f>SUM(V216:V226)/($B$198-B215)</f>
        <v>0</v>
      </c>
      <c r="AG216" s="971"/>
      <c r="AH216" s="353">
        <f>SUM(D202:D216)+$C$201</f>
        <v>17</v>
      </c>
      <c r="AI216" s="944"/>
      <c r="AJ216" s="575">
        <f t="shared" si="93"/>
        <v>58.499008599999996</v>
      </c>
      <c r="AK216" s="944">
        <f t="shared" si="85"/>
        <v>0.85263112333231494</v>
      </c>
      <c r="AL216" s="944">
        <f t="shared" si="94"/>
        <v>247.81115503136576</v>
      </c>
      <c r="AM216" s="968">
        <f t="shared" si="95"/>
        <v>74.181912400000002</v>
      </c>
      <c r="AN216" s="944">
        <f t="shared" si="96"/>
        <v>0.96213198992991489</v>
      </c>
      <c r="AO216" s="969">
        <f t="shared" si="97"/>
        <v>241.56553059437579</v>
      </c>
      <c r="AP216" s="251"/>
      <c r="AQ216" s="347">
        <f t="shared" si="98"/>
        <v>-410.2</v>
      </c>
      <c r="AR216" s="347"/>
      <c r="AS216" s="348">
        <f t="shared" si="99"/>
        <v>489.37668562574152</v>
      </c>
      <c r="AT216" s="348">
        <f t="shared" si="107"/>
        <v>-241.56553059437579</v>
      </c>
      <c r="AU216" s="348"/>
      <c r="AV216" s="350">
        <f t="shared" si="106"/>
        <v>241.56553059437579</v>
      </c>
      <c r="AW216" s="350">
        <f t="shared" si="100"/>
        <v>-207.71756967516487</v>
      </c>
      <c r="AX216" s="351">
        <f t="shared" si="101"/>
        <v>-202.48243032483512</v>
      </c>
      <c r="AY216" s="351">
        <f t="shared" si="86"/>
        <v>-55.845059318479592</v>
      </c>
      <c r="AZ216" s="1043">
        <f t="shared" si="87"/>
        <v>-49.387001054646412</v>
      </c>
      <c r="BA216" s="241">
        <f t="shared" si="102"/>
        <v>55.845059318479592</v>
      </c>
      <c r="BB216" s="242">
        <f t="shared" si="102"/>
        <v>49.387001054646412</v>
      </c>
      <c r="BC216">
        <f t="shared" si="103"/>
        <v>0.3</v>
      </c>
    </row>
    <row r="217" spans="1:129" ht="21" customHeight="1" thickBot="1" x14ac:dyDescent="0.25">
      <c r="B217" s="244">
        <v>17</v>
      </c>
      <c r="C217" s="245"/>
      <c r="D217" s="16">
        <v>1</v>
      </c>
      <c r="E217" s="234" t="s">
        <v>215</v>
      </c>
      <c r="F217" s="235">
        <f t="shared" si="88"/>
        <v>1.3</v>
      </c>
      <c r="G217" s="235">
        <f t="shared" si="104"/>
        <v>1.3</v>
      </c>
      <c r="H217" s="888">
        <v>251.073172</v>
      </c>
      <c r="I217" s="889">
        <v>65.636175100000003</v>
      </c>
      <c r="J217" s="374">
        <f t="shared" si="89"/>
        <v>64.636175100000003</v>
      </c>
      <c r="K217" s="374">
        <f t="shared" si="90"/>
        <v>32.318087550000001</v>
      </c>
      <c r="L217" s="374">
        <f t="shared" si="78"/>
        <v>0.53461916118589337</v>
      </c>
      <c r="M217" s="374">
        <f t="shared" si="79"/>
        <v>134.22852861092153</v>
      </c>
      <c r="N217" s="374">
        <f t="shared" si="80"/>
        <v>268.45705722184306</v>
      </c>
      <c r="O217" s="374">
        <f>+C201+D202+D203+D204+D205+D206+D207+D208+D209+D210+D211+D212+D213+D214+D215+D216+(D217/2)</f>
        <v>17.5</v>
      </c>
      <c r="P217" s="374">
        <f t="shared" si="81"/>
        <v>0.30070579950427284</v>
      </c>
      <c r="Q217" s="374">
        <f t="shared" si="82"/>
        <v>80.726594024458635</v>
      </c>
      <c r="R217" s="374">
        <f t="shared" si="91"/>
        <v>878.3561468924662</v>
      </c>
      <c r="S217" s="374">
        <f t="shared" si="105"/>
        <v>959.08274091692488</v>
      </c>
      <c r="T217" s="375">
        <f t="shared" si="83"/>
        <v>959.08274091692488</v>
      </c>
      <c r="V217" s="929">
        <f t="shared" si="84"/>
        <v>0</v>
      </c>
      <c r="W217" s="340"/>
      <c r="X217" s="340"/>
      <c r="Y217" s="340"/>
      <c r="Z217" s="340"/>
      <c r="AA217" s="340"/>
      <c r="AB217" s="257" t="str">
        <f t="shared" si="92"/>
        <v>use the locking pin</v>
      </c>
      <c r="AC217" s="377"/>
      <c r="AD217" s="377"/>
      <c r="AE217" s="377"/>
      <c r="AF217" s="966">
        <f>SUM(V217:V226)/($B$198-B216)</f>
        <v>0</v>
      </c>
      <c r="AG217" s="971"/>
      <c r="AH217" s="353">
        <f>SUM(D202:D217)+$C$201</f>
        <v>18</v>
      </c>
      <c r="AI217" s="944"/>
      <c r="AJ217" s="575">
        <f t="shared" si="93"/>
        <v>57.499008599999996</v>
      </c>
      <c r="AK217" s="944">
        <f t="shared" si="85"/>
        <v>0.84338214868716044</v>
      </c>
      <c r="AL217" s="944">
        <f t="shared" si="94"/>
        <v>245.12300651443877</v>
      </c>
      <c r="AM217" s="968">
        <f t="shared" si="95"/>
        <v>75.181912400000002</v>
      </c>
      <c r="AN217" s="944">
        <f t="shared" si="96"/>
        <v>0.96674269922463818</v>
      </c>
      <c r="AO217" s="969">
        <f t="shared" si="97"/>
        <v>242.72315600217186</v>
      </c>
      <c r="AP217" s="251"/>
      <c r="AQ217" s="347">
        <f t="shared" si="98"/>
        <v>-439.5</v>
      </c>
      <c r="AR217" s="347"/>
      <c r="AS217" s="348">
        <f t="shared" si="99"/>
        <v>487.84616251661066</v>
      </c>
      <c r="AT217" s="348">
        <f t="shared" si="107"/>
        <v>-242.72315600217186</v>
      </c>
      <c r="AU217" s="348"/>
      <c r="AV217" s="350">
        <f t="shared" si="106"/>
        <v>242.72315600217186</v>
      </c>
      <c r="AW217" s="350">
        <f t="shared" si="100"/>
        <v>-220.83101116825472</v>
      </c>
      <c r="AX217" s="351">
        <f t="shared" si="101"/>
        <v>-218.66898883174528</v>
      </c>
      <c r="AY217" s="351">
        <f t="shared" si="86"/>
        <v>-52.528854252094931</v>
      </c>
      <c r="AZ217" s="1043">
        <f t="shared" si="87"/>
        <v>-45.731221667167873</v>
      </c>
      <c r="BA217" s="241">
        <f t="shared" si="102"/>
        <v>52.528854252094931</v>
      </c>
      <c r="BB217" s="242">
        <f t="shared" si="102"/>
        <v>45.731221667167873</v>
      </c>
      <c r="BC217">
        <f t="shared" si="103"/>
        <v>0.3</v>
      </c>
      <c r="BD217" s="119"/>
      <c r="BP217" s="109"/>
      <c r="BR217" s="109"/>
      <c r="BT217" s="109"/>
      <c r="DF217" s="109"/>
      <c r="DG217" s="109"/>
      <c r="DH217" s="109"/>
      <c r="DI217" s="109"/>
      <c r="DJ217" s="109"/>
      <c r="DK217" s="109"/>
      <c r="DL217" s="186"/>
      <c r="DM217" s="186"/>
      <c r="DN217" s="186"/>
      <c r="DO217" s="186"/>
      <c r="DP217" s="186"/>
      <c r="DQ217" s="186"/>
      <c r="DR217" s="186"/>
      <c r="DS217" s="186"/>
      <c r="DT217" s="186"/>
      <c r="DU217" s="186"/>
      <c r="DV217" s="186"/>
      <c r="DW217" s="186"/>
      <c r="DX217" s="186"/>
      <c r="DY217" s="186"/>
    </row>
    <row r="218" spans="1:129" ht="21" customHeight="1" thickBot="1" x14ac:dyDescent="0.25">
      <c r="B218" s="244">
        <v>18</v>
      </c>
      <c r="C218" s="245"/>
      <c r="D218" s="16">
        <v>1</v>
      </c>
      <c r="E218" s="234" t="s">
        <v>215</v>
      </c>
      <c r="F218" s="235">
        <f t="shared" si="88"/>
        <v>1.3</v>
      </c>
      <c r="G218" s="235">
        <f t="shared" si="104"/>
        <v>1.3</v>
      </c>
      <c r="H218" s="888">
        <v>251.073172</v>
      </c>
      <c r="I218" s="889">
        <v>65.636175100000003</v>
      </c>
      <c r="J218" s="374">
        <f t="shared" si="89"/>
        <v>64.636175100000003</v>
      </c>
      <c r="K218" s="374">
        <f t="shared" si="90"/>
        <v>32.318087550000001</v>
      </c>
      <c r="L218" s="374">
        <f t="shared" si="78"/>
        <v>0.53461916118589337</v>
      </c>
      <c r="M218" s="374">
        <f t="shared" si="79"/>
        <v>134.22852861092153</v>
      </c>
      <c r="N218" s="374">
        <f t="shared" si="80"/>
        <v>268.45705722184306</v>
      </c>
      <c r="O218" s="374">
        <f>+C201+D202+D203+D204+D205+D206+D207+D208+D209+D210+D211+D212+D213+D214+D215+D216+D217+(D218/2)</f>
        <v>18.5</v>
      </c>
      <c r="P218" s="374">
        <f t="shared" si="81"/>
        <v>0.31730465640509181</v>
      </c>
      <c r="Q218" s="374">
        <f t="shared" si="82"/>
        <v>85.182674301298988</v>
      </c>
      <c r="R218" s="374">
        <f t="shared" si="91"/>
        <v>959.08274091692488</v>
      </c>
      <c r="S218" s="374">
        <f t="shared" si="105"/>
        <v>1044.2654152182238</v>
      </c>
      <c r="T218" s="375">
        <f t="shared" si="83"/>
        <v>1044.2654152182238</v>
      </c>
      <c r="V218" s="929">
        <f t="shared" si="84"/>
        <v>0</v>
      </c>
      <c r="W218" s="340"/>
      <c r="X218" s="340"/>
      <c r="Y218" s="340"/>
      <c r="Z218" s="340"/>
      <c r="AA218" s="340"/>
      <c r="AB218" s="257" t="str">
        <f t="shared" si="92"/>
        <v>use the locking pin</v>
      </c>
      <c r="AC218" s="377"/>
      <c r="AD218" s="377"/>
      <c r="AE218" s="377"/>
      <c r="AF218" s="966">
        <f>SUM(V218:V226)/($B$198-B217)</f>
        <v>0</v>
      </c>
      <c r="AG218" s="971"/>
      <c r="AH218" s="353">
        <f>SUM(D202:D218)+$C$201</f>
        <v>19</v>
      </c>
      <c r="AI218" s="944"/>
      <c r="AJ218" s="575">
        <f t="shared" si="93"/>
        <v>56.499008599999996</v>
      </c>
      <c r="AK218" s="944">
        <f t="shared" si="85"/>
        <v>0.83387627166948974</v>
      </c>
      <c r="AL218" s="944">
        <f t="shared" si="94"/>
        <v>242.36019115516766</v>
      </c>
      <c r="AM218" s="968">
        <f t="shared" si="95"/>
        <v>76.181912400000002</v>
      </c>
      <c r="AN218" s="944">
        <f t="shared" si="96"/>
        <v>0.97105892932813076</v>
      </c>
      <c r="AO218" s="969">
        <f t="shared" si="97"/>
        <v>243.80684558533761</v>
      </c>
      <c r="AP218" s="251"/>
      <c r="AQ218" s="347">
        <f t="shared" si="98"/>
        <v>-468.8</v>
      </c>
      <c r="AR218" s="347"/>
      <c r="AS218" s="348">
        <f t="shared" si="99"/>
        <v>486.1670367405053</v>
      </c>
      <c r="AT218" s="348">
        <f t="shared" si="107"/>
        <v>-243.80684558533761</v>
      </c>
      <c r="AU218" s="348"/>
      <c r="AV218" s="350">
        <f t="shared" si="106"/>
        <v>243.80684558533761</v>
      </c>
      <c r="AW218" s="350">
        <f t="shared" si="100"/>
        <v>-233.70251174430646</v>
      </c>
      <c r="AX218" s="351">
        <f t="shared" si="101"/>
        <v>-235.09748825569355</v>
      </c>
      <c r="AY218" s="351">
        <f t="shared" si="86"/>
        <v>-49.635752364919128</v>
      </c>
      <c r="AZ218" s="1043">
        <f t="shared" si="87"/>
        <v>-42.535545888622742</v>
      </c>
      <c r="BA218" s="241">
        <f t="shared" si="102"/>
        <v>49.635752364919128</v>
      </c>
      <c r="BB218" s="242">
        <f t="shared" si="102"/>
        <v>42.535545888622742</v>
      </c>
      <c r="BC218">
        <f t="shared" si="103"/>
        <v>0.3</v>
      </c>
      <c r="BD218" s="361"/>
      <c r="BP218" s="109"/>
      <c r="BT218" s="109"/>
      <c r="DF218" s="109"/>
      <c r="DG218" s="109"/>
      <c r="DH218" s="109"/>
      <c r="DI218" s="109"/>
      <c r="DJ218" s="109"/>
      <c r="DK218" s="109"/>
      <c r="DL218" s="186"/>
      <c r="DM218" s="186"/>
      <c r="DN218" s="186"/>
      <c r="DO218" s="186"/>
      <c r="DP218" s="186"/>
      <c r="DQ218" s="186"/>
      <c r="DR218" s="186"/>
      <c r="DS218" s="186"/>
      <c r="DT218" s="186"/>
      <c r="DU218" s="186"/>
      <c r="DV218" s="186"/>
      <c r="DW218" s="186"/>
      <c r="DX218" s="186"/>
      <c r="DY218" s="186"/>
    </row>
    <row r="219" spans="1:129" ht="21" customHeight="1" thickBot="1" x14ac:dyDescent="0.25">
      <c r="B219" s="244">
        <v>19</v>
      </c>
      <c r="C219" s="245"/>
      <c r="D219" s="16">
        <v>1</v>
      </c>
      <c r="E219" s="234" t="s">
        <v>215</v>
      </c>
      <c r="F219" s="235">
        <f t="shared" si="88"/>
        <v>1.3</v>
      </c>
      <c r="G219" s="235">
        <f t="shared" si="104"/>
        <v>1.3</v>
      </c>
      <c r="H219" s="888">
        <v>251.073172</v>
      </c>
      <c r="I219" s="889">
        <v>65.636175100000003</v>
      </c>
      <c r="J219" s="374">
        <f t="shared" si="89"/>
        <v>64.636175100000003</v>
      </c>
      <c r="K219" s="374">
        <f t="shared" si="90"/>
        <v>32.318087550000001</v>
      </c>
      <c r="L219" s="374">
        <f t="shared" si="78"/>
        <v>0.53461916118589337</v>
      </c>
      <c r="M219" s="374">
        <f t="shared" si="79"/>
        <v>134.22852861092153</v>
      </c>
      <c r="N219" s="374">
        <f t="shared" si="80"/>
        <v>268.45705722184306</v>
      </c>
      <c r="O219" s="374">
        <f>+C201+D202+D203+D204+D205+D206+D207+D208+D209+D210+D211+D212+D213+D214+D215+D216+D217+D218+(D219/2)</f>
        <v>19.5</v>
      </c>
      <c r="P219" s="374">
        <f t="shared" si="81"/>
        <v>0.33380685923377057</v>
      </c>
      <c r="Q219" s="374">
        <f t="shared" si="82"/>
        <v>89.612807110364059</v>
      </c>
      <c r="R219" s="374">
        <f t="shared" si="91"/>
        <v>1044.2654152182238</v>
      </c>
      <c r="S219" s="374">
        <f t="shared" si="105"/>
        <v>1133.8782223285878</v>
      </c>
      <c r="T219" s="375">
        <f t="shared" si="83"/>
        <v>1133.8782223285878</v>
      </c>
      <c r="V219" s="929">
        <f t="shared" si="84"/>
        <v>0</v>
      </c>
      <c r="W219" s="340"/>
      <c r="X219" s="340"/>
      <c r="Y219" s="340"/>
      <c r="Z219" s="340"/>
      <c r="AA219" s="340"/>
      <c r="AB219" s="235" t="str">
        <f t="shared" si="92"/>
        <v>use the locking pin</v>
      </c>
      <c r="AC219" s="377"/>
      <c r="AD219" s="377"/>
      <c r="AE219" s="377"/>
      <c r="AF219" s="966">
        <f>SUM(V219:V226)/($B$198-B218)</f>
        <v>0</v>
      </c>
      <c r="AG219" s="971"/>
      <c r="AH219" s="353">
        <f>SUM(D202:D219)+$C$201</f>
        <v>20</v>
      </c>
      <c r="AI219" s="944"/>
      <c r="AJ219" s="575">
        <f t="shared" si="93"/>
        <v>55.499008599999996</v>
      </c>
      <c r="AK219" s="944">
        <f t="shared" si="85"/>
        <v>0.82411638786152763</v>
      </c>
      <c r="AL219" s="944">
        <f t="shared" si="94"/>
        <v>239.52355053387478</v>
      </c>
      <c r="AM219" s="968">
        <f t="shared" si="95"/>
        <v>77.181912400000002</v>
      </c>
      <c r="AN219" s="944">
        <f t="shared" si="96"/>
        <v>0.97507936547489105</v>
      </c>
      <c r="AO219" s="969">
        <f t="shared" si="97"/>
        <v>244.81626924152818</v>
      </c>
      <c r="AP219" s="251"/>
      <c r="AQ219" s="347">
        <f t="shared" si="98"/>
        <v>-498.1</v>
      </c>
      <c r="AR219" s="347"/>
      <c r="AS219" s="348">
        <f t="shared" si="99"/>
        <v>484.33981977540293</v>
      </c>
      <c r="AT219" s="348">
        <f t="shared" si="107"/>
        <v>-244.81626924152818</v>
      </c>
      <c r="AU219" s="348"/>
      <c r="AV219" s="350">
        <f t="shared" si="106"/>
        <v>244.81626924152818</v>
      </c>
      <c r="AW219" s="350">
        <f t="shared" si="100"/>
        <v>-246.32845710734185</v>
      </c>
      <c r="AX219" s="351">
        <f t="shared" si="101"/>
        <v>-251.7715428926582</v>
      </c>
      <c r="AY219" s="351">
        <f t="shared" si="86"/>
        <v>-47.091595247337182</v>
      </c>
      <c r="AZ219" s="1043">
        <f t="shared" si="87"/>
        <v>-39.718547557471418</v>
      </c>
      <c r="BA219" s="241">
        <f t="shared" si="102"/>
        <v>47.091595247337182</v>
      </c>
      <c r="BB219" s="242">
        <f t="shared" si="102"/>
        <v>39.718547557471418</v>
      </c>
      <c r="BC219">
        <f t="shared" si="103"/>
        <v>0.3</v>
      </c>
      <c r="BD219" s="127"/>
      <c r="BP219" s="109"/>
      <c r="BQ219" s="273"/>
      <c r="BR219" s="273"/>
      <c r="BS219" s="273"/>
      <c r="BT219" s="273"/>
      <c r="BU219" s="273"/>
      <c r="BV219" s="273"/>
      <c r="BW219" s="273"/>
      <c r="BX219" s="273"/>
      <c r="BY219" s="273"/>
      <c r="BZ219" s="273"/>
      <c r="CA219" s="273"/>
      <c r="CB219" s="273"/>
      <c r="CC219" s="273"/>
      <c r="CD219" s="273"/>
      <c r="CE219" s="273"/>
      <c r="CF219" s="273"/>
      <c r="CG219" s="273"/>
      <c r="CH219" s="273"/>
      <c r="CI219" s="273"/>
      <c r="CJ219" s="273"/>
      <c r="CK219" s="273"/>
      <c r="CL219" s="273"/>
      <c r="CM219" s="273"/>
      <c r="CN219" s="273"/>
      <c r="DF219" s="109"/>
      <c r="DG219" s="109"/>
      <c r="DH219" s="109"/>
      <c r="DI219" s="109"/>
      <c r="DJ219" s="109"/>
      <c r="DK219" s="109"/>
      <c r="DL219" s="186"/>
      <c r="DM219" s="186"/>
      <c r="DN219" s="186"/>
      <c r="DO219" s="186"/>
      <c r="DP219" s="186"/>
      <c r="DQ219" s="186"/>
      <c r="DR219" s="186"/>
      <c r="DS219" s="186"/>
      <c r="DT219" s="186"/>
      <c r="DU219" s="186"/>
      <c r="DV219" s="186"/>
      <c r="DW219" s="186"/>
      <c r="DX219" s="186"/>
      <c r="DY219" s="186"/>
    </row>
    <row r="220" spans="1:129" ht="21" customHeight="1" thickBot="1" x14ac:dyDescent="0.25">
      <c r="B220" s="244">
        <v>20</v>
      </c>
      <c r="C220" s="245"/>
      <c r="D220" s="16">
        <v>1</v>
      </c>
      <c r="E220" s="234" t="s">
        <v>215</v>
      </c>
      <c r="F220" s="235">
        <f t="shared" si="88"/>
        <v>1.3</v>
      </c>
      <c r="G220" s="235">
        <f t="shared" si="104"/>
        <v>1.3</v>
      </c>
      <c r="H220" s="888">
        <v>251.073172</v>
      </c>
      <c r="I220" s="889">
        <v>65.636175100000003</v>
      </c>
      <c r="J220" s="374">
        <f t="shared" si="89"/>
        <v>64.636175100000003</v>
      </c>
      <c r="K220" s="374">
        <f t="shared" si="90"/>
        <v>32.318087550000001</v>
      </c>
      <c r="L220" s="374">
        <f t="shared" si="78"/>
        <v>0.53461916118589337</v>
      </c>
      <c r="M220" s="374">
        <f t="shared" si="79"/>
        <v>134.22852861092153</v>
      </c>
      <c r="N220" s="374">
        <f t="shared" si="80"/>
        <v>268.45705722184306</v>
      </c>
      <c r="O220" s="48">
        <f>+C201+D202+D203+D204+D205+D206+D207+D208+D209+D210+D211+D212+D213+D214+D215+D216+D217+D218+D219+(D220/2)</f>
        <v>20.5</v>
      </c>
      <c r="P220" s="374">
        <f t="shared" si="81"/>
        <v>0.35020738125946715</v>
      </c>
      <c r="Q220" s="374">
        <f t="shared" si="82"/>
        <v>94.015642990284576</v>
      </c>
      <c r="R220" s="374">
        <f t="shared" si="91"/>
        <v>1133.8782223285878</v>
      </c>
      <c r="S220" s="374">
        <f t="shared" si="105"/>
        <v>1227.8938653188723</v>
      </c>
      <c r="T220" s="375">
        <f t="shared" si="83"/>
        <v>1227.8938653188723</v>
      </c>
      <c r="V220" s="929">
        <f t="shared" si="84"/>
        <v>0</v>
      </c>
      <c r="W220" s="340"/>
      <c r="X220" s="340"/>
      <c r="Y220" s="340"/>
      <c r="Z220" s="340"/>
      <c r="AA220" s="340"/>
      <c r="AB220" s="248" t="str">
        <f t="shared" si="92"/>
        <v>use the locking pin</v>
      </c>
      <c r="AC220" s="377"/>
      <c r="AD220" s="377"/>
      <c r="AE220" s="377"/>
      <c r="AF220" s="966">
        <f>SUM(V220:V226)/($B$198-B219)</f>
        <v>0</v>
      </c>
      <c r="AG220" s="971"/>
      <c r="AH220" s="353">
        <f>SUM(D202:D220)+$C$201</f>
        <v>21</v>
      </c>
      <c r="AI220" s="944"/>
      <c r="AJ220" s="575">
        <f t="shared" si="93"/>
        <v>54.499008599999996</v>
      </c>
      <c r="AK220" s="944">
        <f t="shared" si="85"/>
        <v>0.81410547021842816</v>
      </c>
      <c r="AL220" s="944">
        <f t="shared" si="94"/>
        <v>236.61394871877258</v>
      </c>
      <c r="AM220" s="968">
        <f t="shared" si="95"/>
        <v>78.181912400000002</v>
      </c>
      <c r="AN220" s="944">
        <f t="shared" si="96"/>
        <v>0.97880278300112167</v>
      </c>
      <c r="AO220" s="969">
        <f t="shared" si="97"/>
        <v>245.7511194905193</v>
      </c>
      <c r="AP220" s="251"/>
      <c r="AQ220" s="347">
        <f t="shared" si="98"/>
        <v>-527.4</v>
      </c>
      <c r="AR220" s="347"/>
      <c r="AS220" s="348">
        <f t="shared" si="99"/>
        <v>482.36506820929185</v>
      </c>
      <c r="AT220" s="348">
        <f t="shared" si="107"/>
        <v>-245.7511194905193</v>
      </c>
      <c r="AU220" s="348"/>
      <c r="AV220" s="350">
        <f t="shared" si="106"/>
        <v>245.7511194905193</v>
      </c>
      <c r="AW220" s="350">
        <f t="shared" si="100"/>
        <v>-258.70487889503602</v>
      </c>
      <c r="AX220" s="351">
        <f t="shared" si="101"/>
        <v>-268.69512110496396</v>
      </c>
      <c r="AY220" s="351">
        <f t="shared" si="86"/>
        <v>-44.838736901851981</v>
      </c>
      <c r="AZ220" s="1043">
        <f t="shared" si="87"/>
        <v>-37.216902037062169</v>
      </c>
      <c r="BA220" s="241">
        <f t="shared" si="102"/>
        <v>44.838736901851981</v>
      </c>
      <c r="BB220" s="242">
        <f t="shared" si="102"/>
        <v>37.216902037062169</v>
      </c>
      <c r="BC220">
        <f t="shared" si="103"/>
        <v>0.3</v>
      </c>
      <c r="BD220" s="127"/>
      <c r="BP220" s="109"/>
      <c r="DF220" s="109"/>
      <c r="DG220" s="109"/>
      <c r="DH220" s="109"/>
      <c r="DI220" s="109"/>
      <c r="DJ220" s="109"/>
      <c r="DK220" s="109"/>
      <c r="DL220" s="186"/>
      <c r="DM220" s="186"/>
      <c r="DN220" s="186"/>
      <c r="DO220" s="186"/>
      <c r="DP220" s="186"/>
      <c r="DQ220" s="186"/>
      <c r="DR220" s="186"/>
      <c r="DS220" s="186"/>
      <c r="DT220" s="186"/>
      <c r="DU220" s="186"/>
      <c r="DV220" s="186"/>
      <c r="DW220" s="186"/>
      <c r="DX220" s="186"/>
      <c r="DY220" s="186"/>
    </row>
    <row r="221" spans="1:129" ht="19" thickBot="1" x14ac:dyDescent="0.25">
      <c r="B221" s="244">
        <v>21</v>
      </c>
      <c r="C221" s="890"/>
      <c r="D221" s="16">
        <v>1</v>
      </c>
      <c r="E221" s="234" t="s">
        <v>215</v>
      </c>
      <c r="F221" s="235">
        <f t="shared" si="88"/>
        <v>1.3</v>
      </c>
      <c r="G221" s="235">
        <f t="shared" si="104"/>
        <v>1.3</v>
      </c>
      <c r="H221" s="888">
        <v>251.073172</v>
      </c>
      <c r="I221" s="889">
        <v>65.636175100000003</v>
      </c>
      <c r="J221" s="374">
        <f t="shared" si="89"/>
        <v>64.636175100000003</v>
      </c>
      <c r="K221" s="374">
        <f t="shared" si="90"/>
        <v>32.318087550000001</v>
      </c>
      <c r="L221" s="374">
        <f t="shared" si="78"/>
        <v>0.53461916118589337</v>
      </c>
      <c r="M221" s="374">
        <f t="shared" si="79"/>
        <v>134.22852861092153</v>
      </c>
      <c r="N221" s="374">
        <f t="shared" si="80"/>
        <v>268.45705722184306</v>
      </c>
      <c r="O221" s="983">
        <f>+C201+D202+D203+D204+D205+D206+D207+D208+D209+D210+D211+D212+D213+D214+D215+D216+D217+D218+D219+D220+(D221/2)</f>
        <v>21.5</v>
      </c>
      <c r="P221" s="374">
        <f t="shared" si="81"/>
        <v>0.36650122672429686</v>
      </c>
      <c r="Q221" s="374">
        <f t="shared" si="82"/>
        <v>98.389840794600232</v>
      </c>
      <c r="R221" s="374">
        <f t="shared" si="91"/>
        <v>1227.8938653188723</v>
      </c>
      <c r="S221" s="374">
        <f t="shared" si="105"/>
        <v>1326.2837061134726</v>
      </c>
      <c r="T221" s="375">
        <f t="shared" si="83"/>
        <v>1326.2837061134726</v>
      </c>
      <c r="V221" s="929">
        <f t="shared" si="84"/>
        <v>0</v>
      </c>
      <c r="AB221" s="248" t="str">
        <f t="shared" si="92"/>
        <v>use the locking pin</v>
      </c>
      <c r="AF221" s="966">
        <f>SUM(V221:V226)/($B$198-B220)</f>
        <v>0</v>
      </c>
      <c r="AG221" s="972"/>
      <c r="AH221" s="353">
        <f>SUM(D202:D221)+$C$201</f>
        <v>22</v>
      </c>
      <c r="AI221" s="944"/>
      <c r="AJ221" s="575">
        <f t="shared" si="93"/>
        <v>53.499008599999996</v>
      </c>
      <c r="AK221" s="944">
        <f t="shared" si="85"/>
        <v>0.80384656816268329</v>
      </c>
      <c r="AL221" s="944">
        <f t="shared" si="94"/>
        <v>233.63227200275978</v>
      </c>
      <c r="AM221" s="968">
        <f t="shared" si="95"/>
        <v>79.181912400000002</v>
      </c>
      <c r="AN221" s="944">
        <f t="shared" si="96"/>
        <v>0.98222804771777472</v>
      </c>
      <c r="AO221" s="969">
        <f t="shared" si="97"/>
        <v>246.61111156786907</v>
      </c>
      <c r="AP221" s="251"/>
      <c r="AQ221" s="347">
        <f t="shared" si="98"/>
        <v>-556.70000000000005</v>
      </c>
      <c r="AR221" s="347"/>
      <c r="AS221" s="348">
        <f t="shared" si="99"/>
        <v>480.24338357062885</v>
      </c>
      <c r="AT221" s="48">
        <f t="shared" si="107"/>
        <v>-246.61111156786907</v>
      </c>
      <c r="AU221" s="348"/>
      <c r="AV221" s="350">
        <f t="shared" si="106"/>
        <v>246.61111156786907</v>
      </c>
      <c r="AW221" s="350">
        <f t="shared" si="100"/>
        <v>-270.82743932235383</v>
      </c>
      <c r="AX221" s="351">
        <f t="shared" si="101"/>
        <v>-285.87256067764622</v>
      </c>
      <c r="AY221" s="351">
        <f t="shared" si="86"/>
        <v>-42.831701355758995</v>
      </c>
      <c r="AZ221" s="1043">
        <f t="shared" si="87"/>
        <v>-34.98062205164257</v>
      </c>
      <c r="BA221" s="241">
        <f t="shared" si="102"/>
        <v>42.831701355758995</v>
      </c>
      <c r="BB221" s="242">
        <f t="shared" si="102"/>
        <v>34.98062205164257</v>
      </c>
      <c r="BC221">
        <f t="shared" si="103"/>
        <v>0.3</v>
      </c>
      <c r="BD221" s="423"/>
      <c r="BQ221" s="217"/>
      <c r="BR221" s="217"/>
      <c r="BS221" s="217"/>
      <c r="BT221" s="217"/>
      <c r="BU221" s="217"/>
      <c r="BV221" s="217"/>
      <c r="CA221" s="217"/>
      <c r="CB221" s="217"/>
      <c r="CC221" s="217"/>
      <c r="CD221" s="217"/>
      <c r="CI221" s="217"/>
      <c r="CJ221" s="217"/>
      <c r="CK221" s="217"/>
      <c r="CL221" s="217"/>
      <c r="CM221" s="217"/>
      <c r="CN221" s="217"/>
      <c r="DE221" s="109"/>
    </row>
    <row r="222" spans="1:129" ht="19" thickBot="1" x14ac:dyDescent="0.25">
      <c r="B222" s="244">
        <v>22</v>
      </c>
      <c r="C222" s="890"/>
      <c r="D222" s="16">
        <v>1</v>
      </c>
      <c r="E222" s="234" t="s">
        <v>215</v>
      </c>
      <c r="F222" s="235">
        <f t="shared" si="88"/>
        <v>1.3</v>
      </c>
      <c r="G222" s="235">
        <f t="shared" si="104"/>
        <v>1.3</v>
      </c>
      <c r="H222" s="888">
        <v>251.073172</v>
      </c>
      <c r="I222" s="889">
        <v>65.636175100000003</v>
      </c>
      <c r="J222" s="374">
        <f t="shared" si="89"/>
        <v>64.636175100000003</v>
      </c>
      <c r="K222" s="374">
        <f t="shared" si="90"/>
        <v>32.318087550000001</v>
      </c>
      <c r="L222" s="374">
        <f t="shared" si="78"/>
        <v>0.53461916118589337</v>
      </c>
      <c r="M222" s="374">
        <f t="shared" si="79"/>
        <v>134.22852861092153</v>
      </c>
      <c r="N222" s="374">
        <f t="shared" si="80"/>
        <v>268.45705722184306</v>
      </c>
      <c r="O222" s="983">
        <f>+C201+D202+D203+D204+D205+D206+D207+D208+D209+D210+D211+D212+D213+D214+D215+D216+D217+D218+D219+D220+D221+(D222/2)</f>
        <v>22.5</v>
      </c>
      <c r="P222" s="374">
        <f t="shared" si="81"/>
        <v>0.38268343236508939</v>
      </c>
      <c r="Q222" s="374">
        <f t="shared" si="82"/>
        <v>102.73406810028611</v>
      </c>
      <c r="R222" s="374">
        <f t="shared" si="91"/>
        <v>1326.2837061134726</v>
      </c>
      <c r="S222" s="374">
        <f t="shared" si="105"/>
        <v>1429.0177742137587</v>
      </c>
      <c r="T222" s="375">
        <f t="shared" si="83"/>
        <v>1429.0177742137587</v>
      </c>
      <c r="V222" s="929">
        <f t="shared" si="84"/>
        <v>0</v>
      </c>
      <c r="AB222" s="248" t="str">
        <f t="shared" si="92"/>
        <v>use the locking pin</v>
      </c>
      <c r="AF222" s="966">
        <f>SUM(V222:V226)/($B$198-B221)</f>
        <v>0</v>
      </c>
      <c r="AG222" s="972"/>
      <c r="AH222" s="353">
        <f>SUM(D202:D222)+$C$201</f>
        <v>23</v>
      </c>
      <c r="AI222" s="944"/>
      <c r="AJ222" s="575">
        <f t="shared" si="93"/>
        <v>52.499008599999996</v>
      </c>
      <c r="AK222" s="944">
        <f t="shared" si="85"/>
        <v>0.79334280665523971</v>
      </c>
      <c r="AL222" s="944">
        <f t="shared" si="94"/>
        <v>230.57942863344837</v>
      </c>
      <c r="AM222" s="968">
        <f t="shared" si="95"/>
        <v>80.181912400000002</v>
      </c>
      <c r="AN222" s="944">
        <f t="shared" si="96"/>
        <v>0.98535411625603619</v>
      </c>
      <c r="AO222" s="969">
        <f t="shared" si="97"/>
        <v>247.39598351165978</v>
      </c>
      <c r="AP222" s="251"/>
      <c r="AQ222" s="347">
        <f t="shared" si="98"/>
        <v>-586</v>
      </c>
      <c r="AR222" s="347"/>
      <c r="AS222" s="348">
        <f t="shared" si="99"/>
        <v>477.97541214510818</v>
      </c>
      <c r="AT222" s="48">
        <f t="shared" si="107"/>
        <v>-247.39598351165978</v>
      </c>
      <c r="AU222" s="348"/>
      <c r="AV222" s="350">
        <f t="shared" si="106"/>
        <v>247.39598351165978</v>
      </c>
      <c r="AW222" s="350">
        <f t="shared" si="100"/>
        <v>-282.69141413111004</v>
      </c>
      <c r="AX222" s="351">
        <f t="shared" si="101"/>
        <v>-303.30858586888996</v>
      </c>
      <c r="AY222" s="351">
        <f t="shared" si="86"/>
        <v>-41.034143310132556</v>
      </c>
      <c r="AZ222" s="1043">
        <f t="shared" si="87"/>
        <v>-32.969722803437755</v>
      </c>
      <c r="BA222" s="241">
        <f t="shared" ref="BA222:BB226" si="108">ABS(AY222)</f>
        <v>41.034143310132556</v>
      </c>
      <c r="BB222" s="242">
        <f t="shared" si="108"/>
        <v>32.969722803437755</v>
      </c>
      <c r="BC222">
        <f t="shared" si="103"/>
        <v>0.3</v>
      </c>
      <c r="BD222" s="423"/>
      <c r="DE222" s="109"/>
    </row>
    <row r="223" spans="1:129" ht="19" thickBot="1" x14ac:dyDescent="0.25">
      <c r="B223" s="244">
        <v>23</v>
      </c>
      <c r="C223" s="890"/>
      <c r="D223" s="16">
        <v>1</v>
      </c>
      <c r="E223" s="234" t="s">
        <v>215</v>
      </c>
      <c r="F223" s="235">
        <f t="shared" si="88"/>
        <v>1.3</v>
      </c>
      <c r="G223" s="235">
        <f t="shared" si="104"/>
        <v>1.3</v>
      </c>
      <c r="H223" s="888">
        <v>251.073172</v>
      </c>
      <c r="I223" s="889">
        <v>65.636175100000003</v>
      </c>
      <c r="J223" s="374">
        <f t="shared" si="89"/>
        <v>64.636175100000003</v>
      </c>
      <c r="K223" s="374">
        <f t="shared" si="90"/>
        <v>32.318087550000001</v>
      </c>
      <c r="L223" s="374">
        <f t="shared" si="78"/>
        <v>0.53461916118589337</v>
      </c>
      <c r="M223" s="374">
        <f t="shared" si="79"/>
        <v>134.22852861092153</v>
      </c>
      <c r="N223" s="374">
        <f t="shared" si="80"/>
        <v>268.45705722184306</v>
      </c>
      <c r="O223" s="983">
        <f>+C201+D202+D203+D204+D205+D206+D207+D208+D209+D210+D211+D212+D213+D214+D215+D216+D217+D218+D219+D220+D221+D222+(D223/2)</f>
        <v>23.5</v>
      </c>
      <c r="P223" s="374">
        <f t="shared" si="81"/>
        <v>0.39874906892524581</v>
      </c>
      <c r="Q223" s="374">
        <f t="shared" si="82"/>
        <v>107.04700161362136</v>
      </c>
      <c r="R223" s="374">
        <f t="shared" si="91"/>
        <v>1429.0177742137587</v>
      </c>
      <c r="S223" s="374">
        <f t="shared" si="105"/>
        <v>1536.0647758273801</v>
      </c>
      <c r="T223" s="375">
        <f t="shared" si="83"/>
        <v>1536.0647758273801</v>
      </c>
      <c r="V223" s="929">
        <f t="shared" si="84"/>
        <v>0</v>
      </c>
      <c r="AB223" s="248" t="str">
        <f t="shared" si="92"/>
        <v>use the locking pin</v>
      </c>
      <c r="AF223" s="966">
        <f>SUM(V223:V226)/($B$198-B222)</f>
        <v>0</v>
      </c>
      <c r="AG223" s="972"/>
      <c r="AH223" s="353">
        <f>SUM(D202:D223)+$C$201</f>
        <v>24</v>
      </c>
      <c r="AI223" s="944"/>
      <c r="AJ223" s="575">
        <f t="shared" si="93"/>
        <v>51.499008599999996</v>
      </c>
      <c r="AK223" s="944">
        <f t="shared" si="85"/>
        <v>0.78259738524360445</v>
      </c>
      <c r="AL223" s="944">
        <f t="shared" si="94"/>
        <v>227.45634853650211</v>
      </c>
      <c r="AM223" s="968">
        <f t="shared" si="95"/>
        <v>81.181912400000002</v>
      </c>
      <c r="AN223" s="944">
        <f t="shared" si="96"/>
        <v>0.9881800363851464</v>
      </c>
      <c r="AO223" s="969">
        <f t="shared" si="97"/>
        <v>248.10549624229412</v>
      </c>
      <c r="AP223" s="251"/>
      <c r="AQ223" s="347">
        <f t="shared" si="98"/>
        <v>-615.30000000000007</v>
      </c>
      <c r="AR223" s="347"/>
      <c r="AS223" s="348">
        <f t="shared" si="99"/>
        <v>475.56184477879623</v>
      </c>
      <c r="AT223" s="48">
        <f t="shared" si="107"/>
        <v>-248.10549624229412</v>
      </c>
      <c r="AU223" s="348"/>
      <c r="AV223" s="350">
        <f t="shared" si="106"/>
        <v>248.10549624229412</v>
      </c>
      <c r="AW223" s="350">
        <f t="shared" si="100"/>
        <v>-294.29167371408488</v>
      </c>
      <c r="AX223" s="351">
        <f t="shared" si="101"/>
        <v>-321.00832628591525</v>
      </c>
      <c r="AY223" s="351">
        <f t="shared" si="86"/>
        <v>-39.416677521328126</v>
      </c>
      <c r="AZ223" s="1043">
        <f t="shared" si="87"/>
        <v>-31.151839940417041</v>
      </c>
      <c r="BA223" s="241">
        <f t="shared" si="108"/>
        <v>39.416677521328126</v>
      </c>
      <c r="BB223" s="242">
        <f t="shared" si="108"/>
        <v>31.151839940417041</v>
      </c>
      <c r="BC223">
        <f t="shared" si="103"/>
        <v>0.3</v>
      </c>
      <c r="BD223" s="423"/>
      <c r="DE223" s="109"/>
    </row>
    <row r="224" spans="1:129" ht="19" thickBot="1" x14ac:dyDescent="0.25">
      <c r="B224" s="244">
        <v>24</v>
      </c>
      <c r="C224" s="891"/>
      <c r="D224" s="16">
        <v>1</v>
      </c>
      <c r="E224" s="234" t="s">
        <v>215</v>
      </c>
      <c r="F224" s="235">
        <f t="shared" si="88"/>
        <v>1.3</v>
      </c>
      <c r="G224" s="235">
        <f t="shared" si="104"/>
        <v>1.3</v>
      </c>
      <c r="H224" s="888">
        <v>251.073172</v>
      </c>
      <c r="I224" s="889">
        <v>65.636175100000003</v>
      </c>
      <c r="J224" s="374">
        <f t="shared" si="89"/>
        <v>64.636175100000003</v>
      </c>
      <c r="K224" s="374">
        <f t="shared" si="90"/>
        <v>32.318087550000001</v>
      </c>
      <c r="L224" s="374">
        <f t="shared" si="78"/>
        <v>0.53461916118589337</v>
      </c>
      <c r="M224" s="374">
        <f t="shared" si="79"/>
        <v>134.22852861092153</v>
      </c>
      <c r="N224" s="374">
        <f t="shared" si="80"/>
        <v>268.45705722184306</v>
      </c>
      <c r="O224" s="983">
        <f>+C201+D202+D203+D204+D205+D206+D207+D208+D209+D210+D211+D212+D213+D214+D215+D216+D217+D218+D219+D220+D221+D222+D223+(D224/2)</f>
        <v>24.5</v>
      </c>
      <c r="P224" s="374">
        <f t="shared" si="81"/>
        <v>0.41469324265623864</v>
      </c>
      <c r="Q224" s="374">
        <f t="shared" si="82"/>
        <v>111.3273275732775</v>
      </c>
      <c r="R224" s="374">
        <f t="shared" si="91"/>
        <v>1536.0647758273801</v>
      </c>
      <c r="S224" s="374">
        <f t="shared" si="105"/>
        <v>1647.3921034006576</v>
      </c>
      <c r="T224" s="375">
        <f t="shared" si="83"/>
        <v>1647.3921034006576</v>
      </c>
      <c r="V224" s="929">
        <f t="shared" si="84"/>
        <v>0</v>
      </c>
      <c r="AB224" s="248" t="str">
        <f t="shared" si="92"/>
        <v>use the locking pin</v>
      </c>
      <c r="AF224" s="966">
        <f>SUM(V224:V226)/($B$198-B223)</f>
        <v>0</v>
      </c>
      <c r="AG224" s="972"/>
      <c r="AH224" s="353">
        <f>SUM(D202:D224)+$C$201</f>
        <v>25</v>
      </c>
      <c r="AI224" s="944"/>
      <c r="AJ224" s="575">
        <f t="shared" si="93"/>
        <v>50.499008599999996</v>
      </c>
      <c r="AK224" s="944">
        <f t="shared" si="85"/>
        <v>0.77161357708723288</v>
      </c>
      <c r="AL224" s="944">
        <f t="shared" si="94"/>
        <v>224.26398303237247</v>
      </c>
      <c r="AM224" s="968">
        <f t="shared" si="95"/>
        <v>82.181912400000002</v>
      </c>
      <c r="AN224" s="944">
        <f t="shared" si="96"/>
        <v>0.99070494730245873</v>
      </c>
      <c r="AO224" s="969">
        <f t="shared" si="97"/>
        <v>248.73943363532115</v>
      </c>
      <c r="AP224" s="251"/>
      <c r="AQ224" s="347">
        <f t="shared" si="98"/>
        <v>-644.6</v>
      </c>
      <c r="AR224" s="347"/>
      <c r="AS224" s="348">
        <f t="shared" si="99"/>
        <v>473.00341666769361</v>
      </c>
      <c r="AT224" s="48">
        <f t="shared" si="107"/>
        <v>-248.73943363532115</v>
      </c>
      <c r="AU224" s="348"/>
      <c r="AV224" s="350">
        <f t="shared" si="106"/>
        <v>248.73943363532115</v>
      </c>
      <c r="AW224" s="350">
        <f t="shared" si="100"/>
        <v>-305.62266226551947</v>
      </c>
      <c r="AX224" s="351">
        <f t="shared" si="101"/>
        <v>-338.97733773448056</v>
      </c>
      <c r="AY224" s="351">
        <f t="shared" si="86"/>
        <v>-37.95530054614251</v>
      </c>
      <c r="AZ224" s="1043">
        <f t="shared" si="87"/>
        <v>-29.500497192036345</v>
      </c>
      <c r="BA224" s="241">
        <f t="shared" si="108"/>
        <v>37.95530054614251</v>
      </c>
      <c r="BB224" s="242">
        <f t="shared" si="108"/>
        <v>29.500497192036345</v>
      </c>
      <c r="BC224">
        <f t="shared" si="103"/>
        <v>0.3</v>
      </c>
      <c r="BD224" s="423"/>
      <c r="DE224" s="216"/>
    </row>
    <row r="225" spans="2:109" ht="19" thickBot="1" x14ac:dyDescent="0.25">
      <c r="B225" s="244">
        <v>25</v>
      </c>
      <c r="C225" s="892"/>
      <c r="D225" s="16">
        <v>1</v>
      </c>
      <c r="E225" s="234" t="s">
        <v>215</v>
      </c>
      <c r="F225" s="235">
        <f t="shared" si="88"/>
        <v>1.3</v>
      </c>
      <c r="G225" s="235">
        <f t="shared" si="104"/>
        <v>1.3</v>
      </c>
      <c r="H225" s="888">
        <v>251.073172</v>
      </c>
      <c r="I225" s="889">
        <v>65.636175100000003</v>
      </c>
      <c r="J225" s="374">
        <f t="shared" si="89"/>
        <v>64.636175100000003</v>
      </c>
      <c r="K225" s="374">
        <f t="shared" si="90"/>
        <v>32.318087550000001</v>
      </c>
      <c r="L225" s="374">
        <f t="shared" si="78"/>
        <v>0.53461916118589337</v>
      </c>
      <c r="M225" s="374">
        <f t="shared" si="79"/>
        <v>134.22852861092153</v>
      </c>
      <c r="N225" s="374">
        <f t="shared" si="80"/>
        <v>268.45705722184306</v>
      </c>
      <c r="O225" s="983">
        <f>+C201+D202+D203+D204+D205+D206+D207+D208+D209+D210+D211+D212+D213+D214+D215+D216+D217+D218+D219+D220+D221+D222+D223+D224+(D225/2)</f>
        <v>25.5</v>
      </c>
      <c r="P225" s="374">
        <f t="shared" si="81"/>
        <v>0.43051109680829475</v>
      </c>
      <c r="Q225" s="374">
        <f t="shared" si="82"/>
        <v>115.5737421505028</v>
      </c>
      <c r="R225" s="374">
        <f t="shared" si="91"/>
        <v>1647.3921034006576</v>
      </c>
      <c r="S225" s="374">
        <f t="shared" si="105"/>
        <v>1762.9658455511603</v>
      </c>
      <c r="T225" s="375">
        <f t="shared" si="83"/>
        <v>1762.9658455511603</v>
      </c>
      <c r="V225" s="929">
        <f t="shared" si="84"/>
        <v>0</v>
      </c>
      <c r="AB225" s="248" t="str">
        <f t="shared" si="92"/>
        <v>use the locking pin</v>
      </c>
      <c r="AF225" s="966">
        <f>SUM(V225:V226)/($B$198-B224)</f>
        <v>0</v>
      </c>
      <c r="AG225" s="972"/>
      <c r="AH225" s="353">
        <f>SUM(D202:D225)+$C$201</f>
        <v>26</v>
      </c>
      <c r="AI225" s="944"/>
      <c r="AJ225" s="575">
        <f t="shared" si="93"/>
        <v>49.499008599999996</v>
      </c>
      <c r="AK225" s="944">
        <f t="shared" si="85"/>
        <v>0.76039472796049201</v>
      </c>
      <c r="AL225" s="944">
        <f t="shared" si="94"/>
        <v>221.0033045465172</v>
      </c>
      <c r="AM225" s="968">
        <f t="shared" si="95"/>
        <v>83.181912400000002</v>
      </c>
      <c r="AN225" s="944">
        <f t="shared" si="96"/>
        <v>0.99292807989564835</v>
      </c>
      <c r="AO225" s="969">
        <f t="shared" si="97"/>
        <v>249.29760258726986</v>
      </c>
      <c r="AP225" s="251"/>
      <c r="AQ225" s="347">
        <f t="shared" si="98"/>
        <v>-673.9</v>
      </c>
      <c r="AR225" s="347"/>
      <c r="AS225" s="348">
        <f t="shared" si="99"/>
        <v>470.30090713378706</v>
      </c>
      <c r="AT225" s="48">
        <f t="shared" si="107"/>
        <v>-249.29760258726986</v>
      </c>
      <c r="AU225" s="348"/>
      <c r="AV225" s="350">
        <f t="shared" si="106"/>
        <v>249.29760258726986</v>
      </c>
      <c r="AW225" s="350">
        <f t="shared" si="100"/>
        <v>-316.67837479107919</v>
      </c>
      <c r="AX225" s="351">
        <f t="shared" si="101"/>
        <v>-357.22162520892078</v>
      </c>
      <c r="AY225" s="351">
        <f t="shared" si="86"/>
        <v>-36.630224617177653</v>
      </c>
      <c r="AZ225" s="1043">
        <f t="shared" si="87"/>
        <v>-27.993825945311983</v>
      </c>
      <c r="BA225" s="241">
        <f t="shared" si="108"/>
        <v>36.630224617177653</v>
      </c>
      <c r="BB225" s="242">
        <f t="shared" si="108"/>
        <v>27.993825945311983</v>
      </c>
      <c r="BC225">
        <f t="shared" si="103"/>
        <v>0.3</v>
      </c>
      <c r="BD225" s="423"/>
      <c r="DE225" s="109"/>
    </row>
    <row r="226" spans="2:109" ht="19" thickBot="1" x14ac:dyDescent="0.25">
      <c r="B226" s="244">
        <v>26</v>
      </c>
      <c r="C226" s="892"/>
      <c r="D226" s="16">
        <v>1</v>
      </c>
      <c r="E226" s="234" t="s">
        <v>215</v>
      </c>
      <c r="F226" s="235">
        <f t="shared" si="88"/>
        <v>1.3</v>
      </c>
      <c r="G226" s="235">
        <f t="shared" si="104"/>
        <v>1.3</v>
      </c>
      <c r="H226" s="888">
        <v>251.073172</v>
      </c>
      <c r="I226" s="889">
        <v>65.636175100000003</v>
      </c>
      <c r="J226" s="374">
        <f t="shared" si="89"/>
        <v>64.636175100000003</v>
      </c>
      <c r="K226" s="374">
        <f t="shared" si="90"/>
        <v>32.318087550000001</v>
      </c>
      <c r="L226" s="374">
        <f t="shared" si="78"/>
        <v>0.53461916118589337</v>
      </c>
      <c r="M226" s="374">
        <f t="shared" si="79"/>
        <v>134.22852861092153</v>
      </c>
      <c r="N226" s="374">
        <f t="shared" si="80"/>
        <v>268.45705722184306</v>
      </c>
      <c r="O226" s="983">
        <f>+C201+D202+D203+D204+D205+D206+D207+D208+D209+D210+D211+D212+D213+D214+D215+D216+D217+D218+D219+D220+D221+D222+D223+D224+D225+(D226/2)</f>
        <v>26.5</v>
      </c>
      <c r="P226" s="374">
        <f t="shared" si="81"/>
        <v>0.44619781310980838</v>
      </c>
      <c r="Q226" s="374">
        <f t="shared" si="82"/>
        <v>119.78495184628106</v>
      </c>
      <c r="R226" s="374">
        <f t="shared" si="91"/>
        <v>1762.9658455511603</v>
      </c>
      <c r="S226" s="374">
        <f t="shared" si="105"/>
        <v>1882.7507973974414</v>
      </c>
      <c r="T226" s="375">
        <f t="shared" si="83"/>
        <v>1882.7507973974414</v>
      </c>
      <c r="V226" s="929">
        <f t="shared" si="84"/>
        <v>0</v>
      </c>
      <c r="AB226" s="248" t="str">
        <f t="shared" si="92"/>
        <v>use the locking pin</v>
      </c>
      <c r="AF226" s="966">
        <f>SUM(V226)/($B$198-B225)</f>
        <v>0</v>
      </c>
      <c r="AG226" s="972"/>
      <c r="AH226" s="353">
        <f>SUM(D202:D226)+$C$201</f>
        <v>27</v>
      </c>
      <c r="AI226" s="944"/>
      <c r="AJ226" s="575">
        <f t="shared" si="93"/>
        <v>48.499008599999996</v>
      </c>
      <c r="AK226" s="944">
        <f t="shared" si="85"/>
        <v>0.74894425523350538</v>
      </c>
      <c r="AL226" s="944">
        <f t="shared" si="94"/>
        <v>217.67530631319002</v>
      </c>
      <c r="AM226" s="968">
        <f t="shared" si="95"/>
        <v>84.181912400000002</v>
      </c>
      <c r="AN226" s="944">
        <f t="shared" si="96"/>
        <v>0.9948487569769916</v>
      </c>
      <c r="AO226" s="969">
        <f t="shared" si="97"/>
        <v>249.77983307447042</v>
      </c>
      <c r="AP226" s="251"/>
      <c r="AQ226" s="347">
        <f t="shared" si="98"/>
        <v>-703.2</v>
      </c>
      <c r="AR226" s="347"/>
      <c r="AS226" s="348">
        <f t="shared" si="99"/>
        <v>467.45513938766044</v>
      </c>
      <c r="AT226" s="48">
        <f t="shared" si="107"/>
        <v>-249.77983307447042</v>
      </c>
      <c r="AU226" s="348"/>
      <c r="AV226" s="350">
        <f t="shared" si="106"/>
        <v>249.77983307447042</v>
      </c>
      <c r="AW226" s="350">
        <f t="shared" si="100"/>
        <v>-327.45233178941459</v>
      </c>
      <c r="AX226" s="351">
        <f t="shared" si="101"/>
        <v>-375.7476682105854</v>
      </c>
      <c r="AY226" s="351">
        <f t="shared" si="86"/>
        <v>-35.425003500845399</v>
      </c>
      <c r="AZ226" s="1043">
        <f t="shared" si="87"/>
        <v>-26.613604942973495</v>
      </c>
      <c r="BA226" s="241">
        <f t="shared" si="108"/>
        <v>35.425003500845399</v>
      </c>
      <c r="BB226" s="242">
        <f t="shared" si="108"/>
        <v>26.613604942973495</v>
      </c>
      <c r="BC226">
        <f t="shared" si="103"/>
        <v>0.3</v>
      </c>
      <c r="BD226" s="423"/>
    </row>
    <row r="227" spans="2:109" x14ac:dyDescent="0.2">
      <c r="AH227" s="1024"/>
      <c r="BD227" s="423"/>
    </row>
    <row r="228" spans="2:109" x14ac:dyDescent="0.2">
      <c r="BD228" s="423"/>
    </row>
    <row r="229" spans="2:109" x14ac:dyDescent="0.2">
      <c r="BD229" s="423"/>
    </row>
    <row r="263" spans="110:129" x14ac:dyDescent="0.2">
      <c r="DF263" s="267"/>
      <c r="DG263" s="267"/>
      <c r="DH263" s="267"/>
      <c r="DI263" s="267"/>
      <c r="DJ263" s="267"/>
      <c r="DK263" s="267"/>
      <c r="DL263" s="1109"/>
      <c r="DM263" s="1109"/>
      <c r="DN263" s="1109"/>
      <c r="DO263" s="109"/>
    </row>
    <row r="264" spans="110:129" x14ac:dyDescent="0.2">
      <c r="DL264" s="268"/>
      <c r="DY264" s="268"/>
    </row>
    <row r="265" spans="110:129" x14ac:dyDescent="0.2">
      <c r="DF265" s="269"/>
      <c r="DG265" s="269"/>
      <c r="DH265" s="269"/>
      <c r="DI265" s="269"/>
      <c r="DJ265" s="269"/>
      <c r="DK265" s="269"/>
      <c r="DL265" s="1110"/>
      <c r="DM265" s="1110"/>
      <c r="DX265" s="1104"/>
      <c r="DY265" s="1104"/>
    </row>
    <row r="282" spans="110:134" x14ac:dyDescent="0.2">
      <c r="DF282" s="109"/>
      <c r="DH282" s="109"/>
      <c r="DJ282" s="109"/>
    </row>
    <row r="283" spans="110:134" x14ac:dyDescent="0.2">
      <c r="DF283" s="109"/>
      <c r="DJ283" s="109"/>
    </row>
    <row r="284" spans="110:134" x14ac:dyDescent="0.2">
      <c r="DF284" s="109"/>
      <c r="DG284" s="273"/>
      <c r="DH284" s="273"/>
      <c r="DI284" s="273"/>
      <c r="DJ284" s="273"/>
      <c r="DK284" s="273"/>
      <c r="DL284" s="273"/>
      <c r="DM284" s="273"/>
      <c r="DN284" s="273"/>
      <c r="DO284" s="273"/>
      <c r="DP284" s="273"/>
      <c r="DQ284" s="273"/>
      <c r="DR284" s="273"/>
      <c r="DS284" s="273"/>
      <c r="DT284" s="273"/>
      <c r="DU284" s="273"/>
      <c r="DV284" s="273"/>
      <c r="DW284" s="273"/>
      <c r="DX284" s="273"/>
      <c r="DY284" s="273"/>
      <c r="DZ284" s="273"/>
      <c r="EA284" s="273"/>
      <c r="EB284" s="273"/>
      <c r="EC284" s="273"/>
      <c r="ED284" s="273"/>
    </row>
    <row r="285" spans="110:134" x14ac:dyDescent="0.2">
      <c r="DF285" s="109"/>
    </row>
    <row r="286" spans="110:134" x14ac:dyDescent="0.2">
      <c r="DF286" s="216"/>
      <c r="DG286" s="274"/>
      <c r="DH286" s="274"/>
      <c r="DI286" s="274"/>
      <c r="DJ286" s="274"/>
      <c r="DK286" s="274"/>
      <c r="DL286" s="274"/>
      <c r="DM286" s="274"/>
      <c r="DN286" s="274"/>
      <c r="DO286" s="274"/>
      <c r="DP286" s="274"/>
      <c r="DQ286" s="274"/>
      <c r="DR286" s="274"/>
      <c r="DS286" s="274"/>
      <c r="DT286" s="274"/>
      <c r="DU286" s="274"/>
      <c r="DV286" s="274"/>
      <c r="DW286" s="274"/>
      <c r="DX286" s="274"/>
      <c r="DY286" s="274"/>
      <c r="DZ286" s="274"/>
      <c r="EA286" s="274"/>
      <c r="EB286" s="274"/>
      <c r="EC286" s="274"/>
      <c r="ED286" s="274"/>
    </row>
    <row r="287" spans="110:134" x14ac:dyDescent="0.2">
      <c r="DF287" s="109"/>
      <c r="DG287" s="186"/>
      <c r="DH287" s="186"/>
      <c r="DI287" s="186"/>
      <c r="DJ287" s="186"/>
      <c r="DK287" s="186"/>
      <c r="DL287" s="186"/>
      <c r="DM287" s="186"/>
      <c r="DN287" s="186"/>
      <c r="DO287" s="186"/>
      <c r="DP287" s="186"/>
      <c r="DQ287" s="186"/>
      <c r="DR287" s="186"/>
      <c r="DS287" s="186"/>
      <c r="DT287" s="186"/>
      <c r="DU287" s="186"/>
      <c r="DV287" s="186"/>
      <c r="DW287" s="186"/>
      <c r="DX287" s="186"/>
      <c r="DY287" s="186"/>
      <c r="DZ287" s="186"/>
      <c r="EA287" s="186"/>
      <c r="EB287" s="186"/>
      <c r="EC287" s="186"/>
      <c r="ED287" s="186"/>
    </row>
    <row r="289" spans="111:134" x14ac:dyDescent="0.2">
      <c r="DG289" s="217"/>
      <c r="DH289" s="217"/>
      <c r="DI289" s="217"/>
      <c r="DJ289" s="217"/>
      <c r="DK289" s="217"/>
      <c r="DL289" s="217"/>
      <c r="DM289" s="109"/>
      <c r="DN289" s="109"/>
      <c r="DO289" s="109"/>
      <c r="DP289" s="109"/>
      <c r="DQ289" s="109"/>
      <c r="DR289" s="217"/>
      <c r="DS289" s="217"/>
      <c r="DT289" s="217"/>
      <c r="DU289" s="109"/>
      <c r="DV289" s="109"/>
      <c r="DW289" s="109"/>
      <c r="DX289" s="109"/>
      <c r="DY289" s="109"/>
      <c r="DZ289" s="109"/>
      <c r="EA289" s="109"/>
      <c r="EB289" s="109"/>
      <c r="EC289" s="109"/>
      <c r="ED289" s="109"/>
    </row>
    <row r="290" spans="111:134" x14ac:dyDescent="0.2">
      <c r="DG290" s="217"/>
      <c r="DH290" s="217"/>
      <c r="DI290" s="217"/>
      <c r="DJ290" s="217"/>
      <c r="DK290" s="217"/>
      <c r="DL290" s="217"/>
      <c r="DQ290" s="217"/>
      <c r="DR290" s="217"/>
      <c r="DS290" s="217"/>
      <c r="DT290" s="217"/>
      <c r="DY290" s="217"/>
      <c r="DZ290" s="217"/>
      <c r="EA290" s="217"/>
      <c r="EB290" s="217"/>
      <c r="EC290" s="217"/>
      <c r="ED290" s="217"/>
    </row>
  </sheetData>
  <sheetProtection algorithmName="SHA-512" hashValue="VB6gtE/uEly5RQF8METePO32SuZTiFfB9rH775GRE66nUh7IdslxarPen1DI2l8g7eXVgA2pqkvlUWpR5EwpZA==" saltValue="siEOeOhZrB+yzYbtFx2b3A==" spinCount="100000" sheet="1" objects="1" scenarios="1" selectLockedCells="1"/>
  <protectedRanges>
    <protectedRange sqref="B133 B136 D139 B174 D177:D188 B198 D201:D226" name="Range1"/>
    <protectedRange sqref="D140:D164" name="Range1_2"/>
    <protectedRange sqref="B171" name="Range1_4"/>
  </protectedRanges>
  <mergeCells count="25">
    <mergeCell ref="DG39:DH39"/>
    <mergeCell ref="DX265:DY265"/>
    <mergeCell ref="W136:AA136"/>
    <mergeCell ref="BA136:BB136"/>
    <mergeCell ref="B166:B170"/>
    <mergeCell ref="W174:AA174"/>
    <mergeCell ref="BA174:BB174"/>
    <mergeCell ref="BA198:BB198"/>
    <mergeCell ref="BV198:BX198"/>
    <mergeCell ref="BV200:BW200"/>
    <mergeCell ref="CH200:CI200"/>
    <mergeCell ref="DL263:DN263"/>
    <mergeCell ref="DL265:DM265"/>
    <mergeCell ref="B131:B132"/>
    <mergeCell ref="BQ32:CA33"/>
    <mergeCell ref="CS32:DA33"/>
    <mergeCell ref="CB33:CC33"/>
    <mergeCell ref="CQ33:CR33"/>
    <mergeCell ref="BQ25:BR25"/>
    <mergeCell ref="CQ26:DA27"/>
    <mergeCell ref="BQ27:BR27"/>
    <mergeCell ref="CO27:CP27"/>
    <mergeCell ref="BQ29:CA30"/>
    <mergeCell ref="CB30:CC30"/>
    <mergeCell ref="CZ30:DA30"/>
  </mergeCells>
  <conditionalFormatting sqref="B179:AP179 AR179:BB179">
    <cfRule type="expression" dxfId="278" priority="211" stopIfTrue="1">
      <formula>$B$174&lt;3</formula>
    </cfRule>
  </conditionalFormatting>
  <conditionalFormatting sqref="B180:AP180 AR180:BB180">
    <cfRule type="expression" dxfId="277" priority="210">
      <formula>$B$174&lt;4</formula>
    </cfRule>
  </conditionalFormatting>
  <conditionalFormatting sqref="B181:AP181 AR181:BB181">
    <cfRule type="expression" dxfId="276" priority="209">
      <formula>$B$174&lt;5</formula>
    </cfRule>
  </conditionalFormatting>
  <conditionalFormatting sqref="B182:AP182 AR182:BB182">
    <cfRule type="expression" dxfId="275" priority="208">
      <formula>$B$174&lt;6</formula>
    </cfRule>
  </conditionalFormatting>
  <conditionalFormatting sqref="B183:AP183 AR183:BB183">
    <cfRule type="expression" dxfId="274" priority="207">
      <formula>$B$174&lt;7</formula>
    </cfRule>
  </conditionalFormatting>
  <conditionalFormatting sqref="B184:AP184 AR184:BB184">
    <cfRule type="expression" dxfId="273" priority="206">
      <formula>$B$174&lt;8</formula>
    </cfRule>
  </conditionalFormatting>
  <conditionalFormatting sqref="B185:AP185 AR185:BB185">
    <cfRule type="expression" dxfId="272" priority="205">
      <formula>$B$174&lt;9</formula>
    </cfRule>
  </conditionalFormatting>
  <conditionalFormatting sqref="B186:AP186 AR186:BB186">
    <cfRule type="expression" dxfId="271" priority="204">
      <formula>$B$174&lt;10</formula>
    </cfRule>
  </conditionalFormatting>
  <conditionalFormatting sqref="B187:AP187 AR187:BB187">
    <cfRule type="expression" dxfId="270" priority="203">
      <formula>$B$174&lt;11</formula>
    </cfRule>
  </conditionalFormatting>
  <conditionalFormatting sqref="B188:AP188 AR188:BB188">
    <cfRule type="expression" dxfId="269" priority="201">
      <formula>$B$174&lt;12</formula>
    </cfRule>
  </conditionalFormatting>
  <conditionalFormatting sqref="B140:BB140">
    <cfRule type="expression" dxfId="268" priority="52">
      <formula>$B136&lt;2</formula>
    </cfRule>
  </conditionalFormatting>
  <conditionalFormatting sqref="B141:BB141">
    <cfRule type="expression" dxfId="267" priority="51">
      <formula>$B136&lt;3</formula>
    </cfRule>
  </conditionalFormatting>
  <conditionalFormatting sqref="B142:BB142">
    <cfRule type="expression" dxfId="266" priority="50">
      <formula>$B136&lt;4</formula>
    </cfRule>
  </conditionalFormatting>
  <conditionalFormatting sqref="B143:BB143">
    <cfRule type="expression" dxfId="265" priority="49">
      <formula>$B136&lt;5</formula>
    </cfRule>
  </conditionalFormatting>
  <conditionalFormatting sqref="B144:BB144">
    <cfRule type="expression" dxfId="264" priority="48">
      <formula>$B136&lt;6</formula>
    </cfRule>
  </conditionalFormatting>
  <conditionalFormatting sqref="B145:BB145">
    <cfRule type="expression" dxfId="263" priority="47">
      <formula>$B136&lt;7</formula>
    </cfRule>
  </conditionalFormatting>
  <conditionalFormatting sqref="B146:BB146">
    <cfRule type="expression" dxfId="262" priority="46">
      <formula>$B136&lt;8</formula>
    </cfRule>
  </conditionalFormatting>
  <conditionalFormatting sqref="B147:BB147">
    <cfRule type="expression" dxfId="261" priority="45">
      <formula>$B136&lt;9</formula>
    </cfRule>
  </conditionalFormatting>
  <conditionalFormatting sqref="B148:BB148">
    <cfRule type="expression" dxfId="260" priority="44">
      <formula>$B136&lt;10</formula>
    </cfRule>
  </conditionalFormatting>
  <conditionalFormatting sqref="B149:BB149">
    <cfRule type="expression" dxfId="259" priority="43">
      <formula>$B136&lt;11</formula>
    </cfRule>
  </conditionalFormatting>
  <conditionalFormatting sqref="B150:BB150">
    <cfRule type="expression" dxfId="258" priority="42">
      <formula>$B136&lt;12</formula>
    </cfRule>
  </conditionalFormatting>
  <conditionalFormatting sqref="B151:BB151">
    <cfRule type="expression" dxfId="257" priority="41">
      <formula>$B136&lt;13</formula>
    </cfRule>
  </conditionalFormatting>
  <conditionalFormatting sqref="B152:BB152">
    <cfRule type="expression" dxfId="256" priority="40">
      <formula>$B136&lt;14</formula>
    </cfRule>
  </conditionalFormatting>
  <conditionalFormatting sqref="B153:BB153">
    <cfRule type="expression" dxfId="255" priority="39">
      <formula>$B136&lt;15</formula>
    </cfRule>
  </conditionalFormatting>
  <conditionalFormatting sqref="B154:BB154">
    <cfRule type="expression" dxfId="254" priority="38">
      <formula>$B136&lt;16</formula>
    </cfRule>
  </conditionalFormatting>
  <conditionalFormatting sqref="B155:BB155">
    <cfRule type="expression" dxfId="253" priority="37">
      <formula>$B136&lt;17</formula>
    </cfRule>
  </conditionalFormatting>
  <conditionalFormatting sqref="B156:BB156">
    <cfRule type="expression" dxfId="252" priority="36">
      <formula>$B136&lt;18</formula>
    </cfRule>
  </conditionalFormatting>
  <conditionalFormatting sqref="B157:BB157">
    <cfRule type="expression" dxfId="251" priority="35">
      <formula>$B136&lt;19</formula>
    </cfRule>
  </conditionalFormatting>
  <conditionalFormatting sqref="B158:BB158">
    <cfRule type="expression" dxfId="250" priority="34">
      <formula>$B136&lt;20</formula>
    </cfRule>
  </conditionalFormatting>
  <conditionalFormatting sqref="B159:BB159">
    <cfRule type="expression" dxfId="249" priority="33">
      <formula>$B136&lt;21</formula>
    </cfRule>
  </conditionalFormatting>
  <conditionalFormatting sqref="B160:BB160">
    <cfRule type="expression" dxfId="248" priority="32">
      <formula>$B136&lt;22</formula>
    </cfRule>
  </conditionalFormatting>
  <conditionalFormatting sqref="B161:BB161">
    <cfRule type="expression" dxfId="247" priority="31">
      <formula>$B136&lt;23</formula>
    </cfRule>
  </conditionalFormatting>
  <conditionalFormatting sqref="B162:BB162">
    <cfRule type="expression" dxfId="246" priority="30">
      <formula>$B136&lt;24</formula>
    </cfRule>
  </conditionalFormatting>
  <conditionalFormatting sqref="B163:BB163">
    <cfRule type="expression" dxfId="245" priority="29">
      <formula>$B136&lt;25</formula>
    </cfRule>
  </conditionalFormatting>
  <conditionalFormatting sqref="B164:BB164">
    <cfRule type="expression" dxfId="244" priority="28">
      <formula>$B136&lt;26</formula>
    </cfRule>
  </conditionalFormatting>
  <conditionalFormatting sqref="B178:BB178 AQ179:AQ188">
    <cfRule type="expression" dxfId="243" priority="212" stopIfTrue="1">
      <formula>$B$174&lt;2</formula>
    </cfRule>
  </conditionalFormatting>
  <conditionalFormatting sqref="B202:BB202">
    <cfRule type="expression" dxfId="242" priority="25">
      <formula>$B198&lt;2</formula>
    </cfRule>
  </conditionalFormatting>
  <conditionalFormatting sqref="B203:BB203">
    <cfRule type="expression" dxfId="241" priority="24">
      <formula>$B198&lt;3</formula>
    </cfRule>
  </conditionalFormatting>
  <conditionalFormatting sqref="B204:BB204">
    <cfRule type="expression" dxfId="240" priority="23">
      <formula>$B198&lt;4</formula>
    </cfRule>
  </conditionalFormatting>
  <conditionalFormatting sqref="B205:BB205">
    <cfRule type="expression" dxfId="239" priority="22">
      <formula>$B198&lt;5</formula>
    </cfRule>
  </conditionalFormatting>
  <conditionalFormatting sqref="B206:BB206">
    <cfRule type="expression" dxfId="238" priority="21">
      <formula>$B198&lt;6</formula>
    </cfRule>
  </conditionalFormatting>
  <conditionalFormatting sqref="B207:BB207">
    <cfRule type="expression" dxfId="237" priority="20">
      <formula>$B198&lt;7</formula>
    </cfRule>
  </conditionalFormatting>
  <conditionalFormatting sqref="B208:BB208">
    <cfRule type="expression" dxfId="236" priority="19">
      <formula>$B198&lt;8</formula>
    </cfRule>
  </conditionalFormatting>
  <conditionalFormatting sqref="B209:BB209">
    <cfRule type="expression" dxfId="235" priority="18">
      <formula>$B198&lt;9</formula>
    </cfRule>
  </conditionalFormatting>
  <conditionalFormatting sqref="B210:BB210">
    <cfRule type="expression" dxfId="234" priority="17">
      <formula>$B198&lt;10</formula>
    </cfRule>
  </conditionalFormatting>
  <conditionalFormatting sqref="B211:BB211">
    <cfRule type="expression" dxfId="233" priority="16">
      <formula>$B198&lt;11</formula>
    </cfRule>
  </conditionalFormatting>
  <conditionalFormatting sqref="B212:BB212">
    <cfRule type="expression" dxfId="232" priority="15">
      <formula>$B198&lt;12</formula>
    </cfRule>
  </conditionalFormatting>
  <conditionalFormatting sqref="B213:BB213">
    <cfRule type="expression" dxfId="231" priority="14">
      <formula>$B198&lt;13</formula>
    </cfRule>
  </conditionalFormatting>
  <conditionalFormatting sqref="B214:BB214">
    <cfRule type="expression" dxfId="230" priority="13">
      <formula>$B198&lt;14</formula>
    </cfRule>
  </conditionalFormatting>
  <conditionalFormatting sqref="B215:BB215">
    <cfRule type="expression" dxfId="229" priority="12">
      <formula>$B198&lt;15</formula>
    </cfRule>
  </conditionalFormatting>
  <conditionalFormatting sqref="B216:BB216">
    <cfRule type="expression" dxfId="228" priority="11">
      <formula>$B198&lt;16</formula>
    </cfRule>
  </conditionalFormatting>
  <conditionalFormatting sqref="B217:BB217">
    <cfRule type="expression" dxfId="227" priority="10">
      <formula>$B198&lt;17</formula>
    </cfRule>
  </conditionalFormatting>
  <conditionalFormatting sqref="B218:BB218">
    <cfRule type="expression" dxfId="226" priority="9">
      <formula>$B198&lt;18</formula>
    </cfRule>
  </conditionalFormatting>
  <conditionalFormatting sqref="B219:BB219">
    <cfRule type="expression" dxfId="225" priority="8">
      <formula>$B198&lt;19</formula>
    </cfRule>
  </conditionalFormatting>
  <conditionalFormatting sqref="B220:BB220">
    <cfRule type="expression" dxfId="224" priority="7">
      <formula>$B198&lt;20</formula>
    </cfRule>
  </conditionalFormatting>
  <conditionalFormatting sqref="B221:BB221">
    <cfRule type="expression" dxfId="223" priority="6">
      <formula>$B198&lt;21</formula>
    </cfRule>
  </conditionalFormatting>
  <conditionalFormatting sqref="B222:BB222">
    <cfRule type="expression" dxfId="222" priority="5">
      <formula>$B198&lt;22</formula>
    </cfRule>
  </conditionalFormatting>
  <conditionalFormatting sqref="B223:BB223">
    <cfRule type="expression" dxfId="221" priority="4">
      <formula>$B198&lt;23</formula>
    </cfRule>
  </conditionalFormatting>
  <conditionalFormatting sqref="B224:BB224">
    <cfRule type="expression" dxfId="220" priority="3">
      <formula>$B198&lt;24</formula>
    </cfRule>
  </conditionalFormatting>
  <conditionalFormatting sqref="B225:BB225">
    <cfRule type="expression" dxfId="219" priority="2">
      <formula>$B198&lt;25</formula>
    </cfRule>
  </conditionalFormatting>
  <conditionalFormatting sqref="B226:BB226">
    <cfRule type="expression" dxfId="218" priority="1">
      <formula>$B198&lt;26</formula>
    </cfRule>
  </conditionalFormatting>
  <conditionalFormatting sqref="D130:D131">
    <cfRule type="cellIs" dxfId="217" priority="239" stopIfTrue="1" operator="equal">
      <formula>"change the angle of frame or of cabinets"</formula>
    </cfRule>
  </conditionalFormatting>
  <conditionalFormatting sqref="D132">
    <cfRule type="cellIs" dxfId="216" priority="238" stopIfTrue="1" operator="equal">
      <formula>"USE EXBAR AR AT THE FRONT"</formula>
    </cfRule>
  </conditionalFormatting>
  <conditionalFormatting sqref="D133">
    <cfRule type="cellIs" dxfId="215" priority="237" stopIfTrue="1" operator="equal">
      <formula>"USE EXBAR AR AT THE BACK"</formula>
    </cfRule>
  </conditionalFormatting>
  <conditionalFormatting sqref="D139:D164">
    <cfRule type="cellIs" dxfId="214" priority="54" operator="notEqual">
      <formula>0</formula>
    </cfRule>
  </conditionalFormatting>
  <conditionalFormatting sqref="D177:D188">
    <cfRule type="cellIs" dxfId="213" priority="215" operator="notEqual">
      <formula>0</formula>
    </cfRule>
  </conditionalFormatting>
  <conditionalFormatting sqref="D201:D226">
    <cfRule type="cellIs" dxfId="212" priority="27" operator="notEqual">
      <formula>0</formula>
    </cfRule>
  </conditionalFormatting>
  <conditionalFormatting sqref="E177">
    <cfRule type="expression" dxfId="211" priority="214" stopIfTrue="1">
      <formula>$B$174&lt;1</formula>
    </cfRule>
  </conditionalFormatting>
  <conditionalFormatting sqref="AW165">
    <cfRule type="expression" dxfId="210" priority="213">
      <formula>$B$136&lt;20</formula>
    </cfRule>
  </conditionalFormatting>
  <conditionalFormatting sqref="BA139:BB164">
    <cfRule type="cellIs" dxfId="209" priority="53" operator="lessThan">
      <formula>10</formula>
    </cfRule>
  </conditionalFormatting>
  <conditionalFormatting sqref="BA177:BB188">
    <cfRule type="cellIs" dxfId="208" priority="234" operator="lessThan">
      <formula>10</formula>
    </cfRule>
  </conditionalFormatting>
  <conditionalFormatting sqref="BA201:BB226">
    <cfRule type="cellIs" dxfId="207" priority="26" operator="lessThan">
      <formula>10</formula>
    </cfRule>
  </conditionalFormatting>
  <conditionalFormatting sqref="BK170:BK209">
    <cfRule type="cellIs" dxfId="206" priority="243" stopIfTrue="1" operator="equal">
      <formula>FALSE</formula>
    </cfRule>
  </conditionalFormatting>
  <conditionalFormatting sqref="BN26">
    <cfRule type="cellIs" dxfId="205" priority="181" stopIfTrue="1" operator="equal">
      <formula>"negative force at the motor"</formula>
    </cfRule>
  </conditionalFormatting>
  <conditionalFormatting sqref="BN26:BN27">
    <cfRule type="cellIs" dxfId="204" priority="180" operator="equal">
      <formula>"""OK"""</formula>
    </cfRule>
  </conditionalFormatting>
  <conditionalFormatting sqref="BN27">
    <cfRule type="cellIs" dxfId="203" priority="242" stopIfTrue="1" operator="equal">
      <formula>"overload"</formula>
    </cfRule>
  </conditionalFormatting>
  <conditionalFormatting sqref="BN29">
    <cfRule type="cellIs" dxfId="202" priority="179" stopIfTrue="1" operator="equal">
      <formula>"negative force at the motor"</formula>
    </cfRule>
  </conditionalFormatting>
  <conditionalFormatting sqref="BN29:BN30">
    <cfRule type="cellIs" dxfId="201" priority="178" operator="equal">
      <formula>"""OK"""</formula>
    </cfRule>
  </conditionalFormatting>
  <conditionalFormatting sqref="BN32">
    <cfRule type="cellIs" dxfId="200" priority="177" stopIfTrue="1" operator="equal">
      <formula>"negative force at the motor"</formula>
    </cfRule>
  </conditionalFormatting>
  <conditionalFormatting sqref="BN32:BN33">
    <cfRule type="cellIs" dxfId="199" priority="176" operator="equal">
      <formula>"""OK"""</formula>
    </cfRule>
  </conditionalFormatting>
  <conditionalFormatting sqref="BN56 BN61 BN132">
    <cfRule type="cellIs" dxfId="198" priority="240" operator="equal">
      <formula>"""OK"""</formula>
    </cfRule>
  </conditionalFormatting>
  <conditionalFormatting sqref="BN56 BN132 BN61 BN30 BN33">
    <cfRule type="cellIs" dxfId="197" priority="247" stopIfTrue="1" operator="equal">
      <formula>"overload"</formula>
    </cfRule>
  </conditionalFormatting>
  <conditionalFormatting sqref="BN56 BN132 BO55:BO56 BO131:BO132">
    <cfRule type="expression" dxfId="196" priority="241">
      <formula>$B$133&lt;&gt;0</formula>
    </cfRule>
  </conditionalFormatting>
  <conditionalFormatting sqref="BQ131:CG131 BQ133:CG133">
    <cfRule type="expression" dxfId="195" priority="248">
      <formula>$B$133=0</formula>
    </cfRule>
  </conditionalFormatting>
  <conditionalFormatting sqref="BQ57:DB59 BV136:CI143">
    <cfRule type="cellIs" dxfId="194" priority="244" stopIfTrue="1" operator="equal">
      <formula>FALSE</formula>
    </cfRule>
  </conditionalFormatting>
  <conditionalFormatting sqref="CB55:CR55">
    <cfRule type="cellIs" dxfId="193" priority="245" operator="equal">
      <formula>0</formula>
    </cfRule>
    <cfRule type="expression" dxfId="192" priority="246">
      <formula>$B$133=0</formula>
    </cfRule>
  </conditionalFormatting>
  <conditionalFormatting sqref="CH133:DA133">
    <cfRule type="expression" dxfId="191" priority="175">
      <formula>$B$133=0</formula>
    </cfRule>
  </conditionalFormatting>
  <conditionalFormatting sqref="CK131:DA131">
    <cfRule type="expression" dxfId="190" priority="249">
      <formula>$B$133=0</formula>
    </cfRule>
  </conditionalFormatting>
  <dataValidations count="10">
    <dataValidation type="custom" allowBlank="1" showInputMessage="1" showErrorMessage="1" sqref="D202:D226" xr:uid="{00000000-0002-0000-0500-000000000000}">
      <formula1>OR(D202=0.5,D202=1,D202=2,D202=2.5,D202=3,D202=4,D202=5,D202=6,D202=7,D202=8,D202=9,D202=10)</formula1>
    </dataValidation>
    <dataValidation type="whole" allowBlank="1" showInputMessage="1" showErrorMessage="1" errorTitle="Coda Audio" error="YOU HAVE ENTERED A WRONG NUMBER OF CABINETS" promptTitle="Coda Audio" prompt="ENTER THE NUMBER OF CABINETS FROM 1 UP TO 26" sqref="B198 B136" xr:uid="{00000000-0002-0000-0500-000001000000}">
      <formula1>1</formula1>
      <formula2>26</formula2>
    </dataValidation>
    <dataValidation type="decimal" allowBlank="1" showInputMessage="1" showErrorMessage="1" sqref="B133" xr:uid="{00000000-0002-0000-0500-000002000000}">
      <formula1>-89.9</formula1>
      <formula2>89.9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74" xr:uid="{00000000-0002-0000-0500-000003000000}">
      <formula1>1</formula1>
      <formula2>10</formula2>
    </dataValidation>
    <dataValidation type="decimal" allowBlank="1" showInputMessage="1" showErrorMessage="1" sqref="G178:G188 D172 D165:D169 G202:G226 F203:F226 F179:F188 F141:F172 G140:G172" xr:uid="{00000000-0002-0000-0500-000004000000}">
      <formula1>0</formula1>
      <formula2>8</formula2>
    </dataValidation>
    <dataValidation type="decimal" allowBlank="1" showInputMessage="1" showErrorMessage="1" sqref="F177:G177 F139:G139 F201:G201" xr:uid="{00000000-0002-0000-0500-000005000000}">
      <formula1>0</formula1>
      <formula2>4</formula2>
    </dataValidation>
    <dataValidation type="whole" allowBlank="1" showInputMessage="1" showErrorMessage="1" sqref="D139 D201" xr:uid="{00000000-0002-0000-0500-000006000000}">
      <formula1>-2</formula1>
      <formula2>4</formula2>
    </dataValidation>
    <dataValidation type="custom" allowBlank="1" showInputMessage="1" showErrorMessage="1" sqref="D177:D188" xr:uid="{00000000-0002-0000-0500-000007000000}">
      <formula1>OR(D177=0,D177=2.5,D177=5)</formula1>
    </dataValidation>
    <dataValidation type="custom" allowBlank="1" showInputMessage="1" showErrorMessage="1" sqref="D140:D164" xr:uid="{00000000-0002-0000-0500-000008000000}">
      <formula1>OR(D140=0.5,D140=2.5,D140=1,D140=2,D140=2.5,D140=3,D140=4,D140=5,D140=6,D140=7,D140=8,D140=9,D140=10)</formula1>
    </dataValidation>
    <dataValidation type="custom" allowBlank="1" showInputMessage="1" showErrorMessage="1" sqref="B171" xr:uid="{00000000-0002-0000-0500-000009000000}">
      <formula1>OR(B171=-5,B171=-4,B171=-3,B171=-2,B171=-1.5,B171=-1,B171=0,B171=0.5,B171=1,B171=2,B171=2.5,B171=3,B171=4,B171=5)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FFFF00"/>
  </sheetPr>
  <dimension ref="B1:EM225"/>
  <sheetViews>
    <sheetView topLeftCell="A51" zoomScale="50" zoomScaleNormal="50" workbookViewId="0">
      <selection activeCell="D138" sqref="D138"/>
    </sheetView>
  </sheetViews>
  <sheetFormatPr baseColWidth="10" defaultColWidth="9.1640625" defaultRowHeight="18" x14ac:dyDescent="0.2"/>
  <cols>
    <col min="1" max="1" width="7.83203125" customWidth="1"/>
    <col min="2" max="2" width="34.5" style="24" customWidth="1"/>
    <col min="3" max="3" width="19.5" style="24" hidden="1" customWidth="1"/>
    <col min="4" max="4" width="35.1640625" customWidth="1"/>
    <col min="5" max="5" width="38.33203125" customWidth="1"/>
    <col min="6" max="7" width="28.5" hidden="1" customWidth="1"/>
    <col min="8" max="27" width="28.5" style="48" hidden="1" customWidth="1"/>
    <col min="28" max="28" width="28.5" style="48" customWidth="1"/>
    <col min="29" max="32" width="17.83203125" style="48" hidden="1" customWidth="1"/>
    <col min="33" max="34" width="18.83203125" style="48" hidden="1" customWidth="1"/>
    <col min="35" max="46" width="14" style="48" hidden="1" customWidth="1"/>
    <col min="47" max="47" width="18.83203125" style="48" hidden="1" customWidth="1"/>
    <col min="48" max="48" width="28.5" style="48" hidden="1" customWidth="1"/>
    <col min="49" max="49" width="19.6640625" style="48" hidden="1" customWidth="1"/>
    <col min="50" max="50" width="26.1640625" style="48" hidden="1" customWidth="1"/>
    <col min="51" max="51" width="20.5" style="48" hidden="1" customWidth="1"/>
    <col min="52" max="53" width="14.5" style="48" customWidth="1"/>
    <col min="54" max="54" width="17" hidden="1" customWidth="1"/>
    <col min="55" max="55" width="14.5" hidden="1" customWidth="1"/>
    <col min="56" max="56" width="9.33203125" hidden="1" customWidth="1"/>
    <col min="57" max="57" width="4.83203125" hidden="1" customWidth="1"/>
    <col min="58" max="58" width="6.83203125" hidden="1" customWidth="1"/>
    <col min="59" max="59" width="136" hidden="1" customWidth="1"/>
    <col min="60" max="60" width="17" hidden="1" customWidth="1"/>
    <col min="61" max="62" width="16.33203125" hidden="1" customWidth="1"/>
    <col min="63" max="63" width="9.33203125" hidden="1" customWidth="1"/>
    <col min="64" max="64" width="5.6640625" hidden="1" customWidth="1"/>
    <col min="65" max="65" width="28" style="65" hidden="1" customWidth="1"/>
    <col min="66" max="66" width="28.5" customWidth="1"/>
    <col min="67" max="67" width="34.5" style="43" customWidth="1"/>
    <col min="68" max="68" width="45.83203125" customWidth="1"/>
    <col min="69" max="105" width="7.1640625" customWidth="1"/>
    <col min="106" max="106" width="7.6640625" hidden="1" customWidth="1"/>
    <col min="107" max="107" width="16" hidden="1" customWidth="1"/>
    <col min="108" max="108" width="41" hidden="1" customWidth="1"/>
    <col min="109" max="109" width="41.5" hidden="1" customWidth="1"/>
    <col min="110" max="119" width="6.5" hidden="1" customWidth="1"/>
    <col min="120" max="139" width="6.5" customWidth="1"/>
    <col min="143" max="143" width="11.5" customWidth="1"/>
    <col min="144" max="144" width="9.33203125" customWidth="1"/>
  </cols>
  <sheetData>
    <row r="1" spans="2:15" ht="24" hidden="1" customHeight="1" x14ac:dyDescent="0.2">
      <c r="D1" s="25" t="s">
        <v>93</v>
      </c>
      <c r="E1" s="25" t="s">
        <v>94</v>
      </c>
      <c r="F1" s="25" t="s">
        <v>95</v>
      </c>
      <c r="G1" s="789" t="s">
        <v>165</v>
      </c>
      <c r="H1" s="846">
        <v>18000</v>
      </c>
      <c r="I1" s="791"/>
      <c r="J1" s="791"/>
      <c r="K1" s="791"/>
      <c r="L1" s="791"/>
      <c r="M1" s="791"/>
      <c r="N1" s="791"/>
      <c r="O1" s="792"/>
    </row>
    <row r="2" spans="2:15" ht="24" hidden="1" customHeight="1" x14ac:dyDescent="0.2">
      <c r="B2" s="295" t="s">
        <v>24</v>
      </c>
      <c r="C2" s="28">
        <v>688</v>
      </c>
      <c r="D2" s="29">
        <f>+COS(($B$132*-1)*3.14159265358979/180)*C2</f>
        <v>688</v>
      </c>
      <c r="E2" s="30">
        <f>+COS(($B$132*-1)*3.14159265358979/180)*43</f>
        <v>43</v>
      </c>
      <c r="F2" s="31">
        <f>+COS((($B$132*-1)+72.969997)*3.14159265358979/180)*162.1867</f>
        <v>47.500013702602963</v>
      </c>
      <c r="G2" s="793" t="s">
        <v>157</v>
      </c>
      <c r="H2" s="847">
        <v>77</v>
      </c>
      <c r="I2"/>
      <c r="J2"/>
      <c r="K2"/>
      <c r="L2"/>
      <c r="M2"/>
      <c r="N2"/>
      <c r="O2" s="794"/>
    </row>
    <row r="3" spans="2:15" ht="24" hidden="1" customHeight="1" thickBot="1" x14ac:dyDescent="0.25">
      <c r="B3" s="27" t="s">
        <v>102</v>
      </c>
      <c r="C3" s="32">
        <f>+C9-47.5</f>
        <v>264.8357020844233</v>
      </c>
      <c r="D3" s="29">
        <f>+C9-F2</f>
        <v>264.83568838182032</v>
      </c>
      <c r="G3" s="793" t="s">
        <v>158</v>
      </c>
      <c r="H3" s="848">
        <v>215</v>
      </c>
      <c r="I3" s="165"/>
      <c r="J3"/>
      <c r="K3"/>
      <c r="L3"/>
      <c r="M3"/>
      <c r="N3"/>
      <c r="O3" s="794"/>
    </row>
    <row r="4" spans="2:15" ht="24" hidden="1" customHeight="1" thickBot="1" x14ac:dyDescent="0.25">
      <c r="B4" s="33" t="s">
        <v>103</v>
      </c>
      <c r="C4" s="34">
        <v>1075</v>
      </c>
      <c r="D4" s="29">
        <f>+COS(($B$132*-1)*3.14159265358979/180)*C4</f>
        <v>1075</v>
      </c>
      <c r="G4" s="795" t="s">
        <v>178</v>
      </c>
      <c r="H4" s="849">
        <v>860</v>
      </c>
      <c r="I4" s="783">
        <v>1</v>
      </c>
      <c r="J4" s="1047" t="s">
        <v>173</v>
      </c>
      <c r="K4" s="1054"/>
      <c r="L4" s="1054"/>
      <c r="M4" s="1054"/>
      <c r="N4"/>
      <c r="O4" s="794"/>
    </row>
    <row r="5" spans="2:15" ht="24" hidden="1" customHeight="1" x14ac:dyDescent="0.2">
      <c r="B5" s="33" t="s">
        <v>104</v>
      </c>
      <c r="C5" s="34">
        <f>+C9+425.5</f>
        <v>737.83570208442325</v>
      </c>
      <c r="D5" s="29">
        <f>+(COS(($B$132*-1)*3.14159265358979/180)*473)+$D$3</f>
        <v>737.83568838182032</v>
      </c>
      <c r="G5" s="795" t="s">
        <v>159</v>
      </c>
      <c r="H5" s="849">
        <v>688</v>
      </c>
      <c r="I5"/>
      <c r="J5" s="761" t="s">
        <v>162</v>
      </c>
      <c r="K5" s="761" t="s">
        <v>170</v>
      </c>
      <c r="L5" s="771" t="s">
        <v>169</v>
      </c>
      <c r="M5" s="924"/>
      <c r="N5"/>
      <c r="O5" s="794"/>
    </row>
    <row r="6" spans="2:15" ht="24" hidden="1" customHeight="1" x14ac:dyDescent="0.2">
      <c r="B6" s="170"/>
      <c r="C6" s="170"/>
      <c r="G6" s="795" t="s">
        <v>204</v>
      </c>
      <c r="H6" s="849">
        <v>602</v>
      </c>
      <c r="I6"/>
      <c r="J6" s="763">
        <f>+H9/H8*BQ53</f>
        <v>155.36531479365721</v>
      </c>
      <c r="K6" s="763">
        <f>((H8-H9)/H8)*BQ53</f>
        <v>-106.81365392063933</v>
      </c>
      <c r="L6" s="763">
        <f>+CO53</f>
        <v>106.24833912698213</v>
      </c>
      <c r="M6" s="761" t="s">
        <v>168</v>
      </c>
      <c r="N6"/>
      <c r="O6" s="794"/>
    </row>
    <row r="7" spans="2:15" ht="24" hidden="1" customHeight="1" x14ac:dyDescent="0.2">
      <c r="B7" s="296" t="s">
        <v>16</v>
      </c>
      <c r="C7" s="297">
        <f>+C11+C14+4.5+0.5+30</f>
        <v>154.80000000000001</v>
      </c>
      <c r="G7" s="796" t="s">
        <v>175</v>
      </c>
      <c r="H7" s="850">
        <f>(+SIN(($B$132*-1)*3.14159265358979/180)*H2)</f>
        <v>0</v>
      </c>
      <c r="I7"/>
      <c r="J7" s="764">
        <f>ABS($H$1/J6)</f>
        <v>115.85597482878367</v>
      </c>
      <c r="K7" s="764">
        <f>ABS($H$1/K6)</f>
        <v>168.51778156913988</v>
      </c>
      <c r="L7" s="764">
        <f>ABS($H$1/L6)</f>
        <v>169.41441294896288</v>
      </c>
      <c r="M7" s="766" t="s">
        <v>167</v>
      </c>
      <c r="N7"/>
      <c r="O7" s="794"/>
    </row>
    <row r="8" spans="2:15" ht="24" hidden="1" customHeight="1" x14ac:dyDescent="0.2">
      <c r="B8" s="296" t="s">
        <v>17</v>
      </c>
      <c r="C8" s="296">
        <f>+AR138</f>
        <v>747.0023123282715</v>
      </c>
      <c r="G8" s="796" t="s">
        <v>174</v>
      </c>
      <c r="H8" s="850">
        <f>(+COS(($B$132*-1)*3.14159265358979/180)*H3)</f>
        <v>215</v>
      </c>
      <c r="I8"/>
      <c r="J8" s="1045">
        <f>ABS($E$20/BQ53)</f>
        <v>164.77294197871456</v>
      </c>
      <c r="K8" s="1045"/>
      <c r="L8" s="1045">
        <f>ABS($E$20/CO53)</f>
        <v>75.295294643983496</v>
      </c>
      <c r="M8" s="1046" t="s">
        <v>308</v>
      </c>
      <c r="N8"/>
      <c r="O8" s="794"/>
    </row>
    <row r="9" spans="2:15" ht="24" hidden="1" customHeight="1" thickBot="1" x14ac:dyDescent="0.25">
      <c r="B9" s="296" t="s">
        <v>14</v>
      </c>
      <c r="C9" s="296">
        <f>+AO134</f>
        <v>312.3357020844233</v>
      </c>
      <c r="G9" s="793" t="s">
        <v>172</v>
      </c>
      <c r="H9" s="850">
        <f>+D2+H7</f>
        <v>688</v>
      </c>
      <c r="I9"/>
      <c r="J9" s="43"/>
      <c r="K9" s="43"/>
      <c r="L9" s="43"/>
      <c r="M9" s="43"/>
      <c r="N9"/>
      <c r="O9" s="794"/>
    </row>
    <row r="10" spans="2:15" ht="24" hidden="1" customHeight="1" thickBot="1" x14ac:dyDescent="0.25">
      <c r="B10" s="955" t="s">
        <v>56</v>
      </c>
      <c r="C10" s="975">
        <v>57</v>
      </c>
      <c r="D10" s="956" t="s">
        <v>231</v>
      </c>
      <c r="G10" s="797"/>
      <c r="H10"/>
      <c r="I10" s="783">
        <v>2</v>
      </c>
      <c r="J10" s="1047" t="s">
        <v>180</v>
      </c>
      <c r="K10" s="1047"/>
      <c r="L10" s="1049"/>
      <c r="M10" s="1049"/>
      <c r="N10"/>
      <c r="O10" s="794"/>
    </row>
    <row r="11" spans="2:15" ht="24" hidden="1" customHeight="1" x14ac:dyDescent="0.2">
      <c r="B11" s="298" t="s">
        <v>56</v>
      </c>
      <c r="C11" s="975">
        <f>+B135*C10+31</f>
        <v>88</v>
      </c>
      <c r="G11" s="793" t="s">
        <v>171</v>
      </c>
      <c r="H11" s="850">
        <f>+D2-H7</f>
        <v>688</v>
      </c>
      <c r="I11"/>
      <c r="J11" s="853" t="s">
        <v>163</v>
      </c>
      <c r="K11" s="761" t="s">
        <v>160</v>
      </c>
      <c r="L11" s="761" t="s">
        <v>161</v>
      </c>
      <c r="M11" s="924"/>
      <c r="N11"/>
      <c r="O11" s="794"/>
    </row>
    <row r="12" spans="2:15" ht="24" hidden="1" customHeight="1" thickBot="1" x14ac:dyDescent="0.25">
      <c r="B12" s="298" t="s">
        <v>57</v>
      </c>
      <c r="C12" s="299">
        <v>747</v>
      </c>
      <c r="D12" s="300"/>
      <c r="G12" s="797"/>
      <c r="H12" s="26"/>
      <c r="I12"/>
      <c r="J12" s="763">
        <f>(CB56)</f>
        <v>116.66366087301789</v>
      </c>
      <c r="K12" s="763">
        <f>((+H8-H11)/H8*CZ56)</f>
        <v>-83.899946079360689</v>
      </c>
      <c r="L12" s="763">
        <f>(H11/H8*CZ56)</f>
        <v>122.03628520634282</v>
      </c>
      <c r="M12" s="761" t="s">
        <v>168</v>
      </c>
      <c r="N12"/>
      <c r="O12" s="794"/>
    </row>
    <row r="13" spans="2:15" ht="24" hidden="1" customHeight="1" thickBot="1" x14ac:dyDescent="0.25">
      <c r="B13" s="955" t="s">
        <v>232</v>
      </c>
      <c r="C13" s="975">
        <v>29.3</v>
      </c>
      <c r="D13" s="956" t="s">
        <v>222</v>
      </c>
      <c r="G13" s="797"/>
      <c r="H13"/>
      <c r="I13"/>
      <c r="J13" s="764">
        <f>ABS($H$1/J12)</f>
        <v>154.28968939687252</v>
      </c>
      <c r="K13" s="764">
        <f>ABS($H$1/K12)</f>
        <v>214.54125826223841</v>
      </c>
      <c r="L13" s="764">
        <f>ABS($H$1/L12)</f>
        <v>147.4971150552889</v>
      </c>
      <c r="M13" s="766" t="s">
        <v>167</v>
      </c>
      <c r="N13"/>
      <c r="O13" s="794"/>
    </row>
    <row r="14" spans="2:15" ht="24" hidden="1" customHeight="1" thickBot="1" x14ac:dyDescent="0.25">
      <c r="B14" s="301" t="s">
        <v>258</v>
      </c>
      <c r="C14" s="299">
        <f>(+B156*C13)+2.5</f>
        <v>31.8</v>
      </c>
      <c r="D14" s="300"/>
      <c r="G14" s="797"/>
      <c r="H14"/>
      <c r="I14"/>
      <c r="J14" s="1045">
        <f>ABS($E$20/CB56)</f>
        <v>68.573195287498905</v>
      </c>
      <c r="K14" s="1045"/>
      <c r="L14" s="1045">
        <f>ABS($E$20/CZ56)</f>
        <v>209.77367474529981</v>
      </c>
      <c r="M14" s="1046" t="s">
        <v>308</v>
      </c>
      <c r="N14"/>
      <c r="O14" s="794"/>
    </row>
    <row r="15" spans="2:15" ht="24" hidden="1" customHeight="1" thickBot="1" x14ac:dyDescent="0.25">
      <c r="B15" s="301" t="s">
        <v>234</v>
      </c>
      <c r="C15" s="953">
        <v>492.38470000000001</v>
      </c>
      <c r="D15" s="956" t="s">
        <v>229</v>
      </c>
      <c r="G15" s="797"/>
      <c r="H15"/>
      <c r="I15"/>
      <c r="J15" s="43"/>
      <c r="K15" s="43"/>
      <c r="L15" s="43"/>
      <c r="M15" s="43"/>
      <c r="N15"/>
      <c r="O15" s="794"/>
    </row>
    <row r="16" spans="2:15" ht="21" hidden="1" thickBot="1" x14ac:dyDescent="0.25">
      <c r="B16" s="302"/>
      <c r="C16" s="302"/>
      <c r="D16" s="300"/>
      <c r="G16" s="793" t="s">
        <v>176</v>
      </c>
      <c r="H16" s="850">
        <f>+D2+H7-BL131</f>
        <v>-49.835688381820319</v>
      </c>
      <c r="I16" s="783" t="s">
        <v>196</v>
      </c>
      <c r="J16" s="1047" t="s">
        <v>177</v>
      </c>
      <c r="K16" s="1054"/>
      <c r="L16" s="1054"/>
      <c r="M16" s="1054"/>
      <c r="N16"/>
      <c r="O16" s="794"/>
    </row>
    <row r="17" spans="2:15" ht="20" hidden="1" x14ac:dyDescent="0.2">
      <c r="B17" s="302"/>
      <c r="C17" s="302"/>
      <c r="D17" s="300"/>
      <c r="G17" s="797"/>
      <c r="H17" s="26"/>
      <c r="I17" s="798"/>
      <c r="J17" s="761" t="s">
        <v>162</v>
      </c>
      <c r="K17" s="761" t="s">
        <v>170</v>
      </c>
      <c r="L17" s="761"/>
      <c r="M17" s="924"/>
      <c r="N17"/>
      <c r="O17" s="794"/>
    </row>
    <row r="18" spans="2:15" ht="20" hidden="1" x14ac:dyDescent="0.2">
      <c r="B18" s="37" t="s">
        <v>66</v>
      </c>
      <c r="C18" s="187">
        <v>5800</v>
      </c>
      <c r="D18" s="187">
        <v>10000</v>
      </c>
      <c r="G18" s="797"/>
      <c r="H18"/>
      <c r="I18"/>
      <c r="J18" s="763">
        <f>+H16/H8*BQ51</f>
        <v>-35.881695634910628</v>
      </c>
      <c r="K18" s="763">
        <f>((H8-H16)/H8)*BQ51</f>
        <v>190.68169563491062</v>
      </c>
      <c r="L18" s="763"/>
      <c r="M18" s="761" t="s">
        <v>168</v>
      </c>
      <c r="N18"/>
      <c r="O18" s="794"/>
    </row>
    <row r="19" spans="2:15" ht="20" hidden="1" x14ac:dyDescent="0.2">
      <c r="B19" s="37" t="s">
        <v>67</v>
      </c>
      <c r="C19" s="187">
        <v>5800</v>
      </c>
      <c r="D19" s="187">
        <v>5800</v>
      </c>
      <c r="G19" s="797"/>
      <c r="H19"/>
      <c r="I19"/>
      <c r="J19" s="764">
        <f>ABS($H$1/J18)</f>
        <v>501.64853364641817</v>
      </c>
      <c r="K19" s="764">
        <f>ABS($H$1/K18)</f>
        <v>94.398153635384929</v>
      </c>
      <c r="L19" s="764"/>
      <c r="M19" s="766" t="s">
        <v>167</v>
      </c>
      <c r="N19"/>
      <c r="O19" s="794"/>
    </row>
    <row r="20" spans="2:15" ht="20" hidden="1" x14ac:dyDescent="0.2">
      <c r="B20" s="37" t="s">
        <v>75</v>
      </c>
      <c r="C20" s="187">
        <v>8000</v>
      </c>
      <c r="D20" s="187">
        <v>8000</v>
      </c>
      <c r="E20" s="38">
        <v>8000</v>
      </c>
      <c r="G20" s="797"/>
      <c r="H20"/>
      <c r="I20"/>
      <c r="J20" s="1045">
        <f>ABS($E$20/BQ51)</f>
        <v>51.679586563307488</v>
      </c>
      <c r="K20" s="1045"/>
      <c r="L20" s="1045"/>
      <c r="M20" s="1046" t="s">
        <v>308</v>
      </c>
      <c r="N20"/>
      <c r="O20" s="794"/>
    </row>
    <row r="21" spans="2:15" ht="19" hidden="1" thickBot="1" x14ac:dyDescent="0.25">
      <c r="B21" s="187"/>
      <c r="C21" s="187" t="s">
        <v>18</v>
      </c>
      <c r="D21" s="187" t="s">
        <v>19</v>
      </c>
      <c r="G21" s="797"/>
      <c r="H21"/>
      <c r="I21"/>
      <c r="J21" s="43"/>
      <c r="K21" s="43"/>
      <c r="L21" s="43"/>
      <c r="M21" s="43"/>
      <c r="N21"/>
      <c r="O21" s="794"/>
    </row>
    <row r="22" spans="2:15" ht="21" hidden="1" thickBot="1" x14ac:dyDescent="0.25">
      <c r="B22" s="303" t="s">
        <v>58</v>
      </c>
      <c r="C22" s="187">
        <f>+((C8-C9)/C8)*C7</f>
        <v>90.075211489008851</v>
      </c>
      <c r="D22" s="187">
        <f>+(C9/C8)*C7</f>
        <v>64.724788510991146</v>
      </c>
      <c r="G22" s="793" t="s">
        <v>164</v>
      </c>
      <c r="H22" s="850">
        <f>(+COS(($B$132*-1)*3.14159265358979/180)*(H4))</f>
        <v>860</v>
      </c>
      <c r="I22" s="783" t="s">
        <v>196</v>
      </c>
      <c r="J22" s="1047" t="s">
        <v>199</v>
      </c>
      <c r="K22" s="1054"/>
      <c r="L22" s="1054"/>
      <c r="M22" s="1054"/>
      <c r="N22"/>
      <c r="O22" s="794"/>
    </row>
    <row r="23" spans="2:15" ht="20" hidden="1" x14ac:dyDescent="0.2">
      <c r="G23" s="793" t="s">
        <v>179</v>
      </c>
      <c r="H23" s="864">
        <f>+BL131-H22+H7</f>
        <v>-122.16431161817968</v>
      </c>
      <c r="I23" s="798"/>
      <c r="J23" s="761"/>
      <c r="K23" s="761" t="s">
        <v>160</v>
      </c>
      <c r="L23" s="761" t="s">
        <v>161</v>
      </c>
      <c r="M23" s="924"/>
      <c r="N23"/>
      <c r="O23" s="794"/>
    </row>
    <row r="24" spans="2:15" ht="20" hidden="1" x14ac:dyDescent="0.2">
      <c r="G24" s="797"/>
      <c r="H24"/>
      <c r="I24"/>
      <c r="J24" s="763"/>
      <c r="K24" s="763">
        <f>((+H8-H23)/H8*BQ51)</f>
        <v>242.7583043650894</v>
      </c>
      <c r="L24" s="763">
        <f>(H23/H8*BQ51)</f>
        <v>-87.958304365089376</v>
      </c>
      <c r="M24" s="761" t="s">
        <v>168</v>
      </c>
      <c r="N24"/>
      <c r="O24" s="794"/>
    </row>
    <row r="25" spans="2:15" ht="20" hidden="1" x14ac:dyDescent="0.2">
      <c r="G25" s="797"/>
      <c r="H25"/>
      <c r="I25"/>
      <c r="J25" s="764"/>
      <c r="K25" s="764">
        <f>ABS($H$1/K24)</f>
        <v>74.147823890421549</v>
      </c>
      <c r="L25" s="764">
        <f>ABS($H$1/L24)</f>
        <v>204.64241699438892</v>
      </c>
      <c r="M25" s="766" t="s">
        <v>167</v>
      </c>
      <c r="N25"/>
      <c r="O25" s="794"/>
    </row>
    <row r="26" spans="2:15" ht="20" hidden="1" x14ac:dyDescent="0.2">
      <c r="G26" s="797"/>
      <c r="H26"/>
      <c r="I26"/>
      <c r="J26" s="1045"/>
      <c r="K26" s="1045"/>
      <c r="L26" s="1045">
        <f>ABS($E$20/BQ51)</f>
        <v>51.679586563307488</v>
      </c>
      <c r="M26" s="1046" t="s">
        <v>308</v>
      </c>
      <c r="N26"/>
      <c r="O26" s="794"/>
    </row>
    <row r="27" spans="2:15" ht="19" hidden="1" thickBot="1" x14ac:dyDescent="0.25">
      <c r="G27" s="797"/>
      <c r="H27"/>
      <c r="I27"/>
      <c r="J27" s="43"/>
      <c r="K27" s="43"/>
      <c r="L27" s="43"/>
      <c r="M27" s="43"/>
      <c r="N27"/>
      <c r="O27" s="794"/>
    </row>
    <row r="28" spans="2:15" ht="21" hidden="1" thickBot="1" x14ac:dyDescent="0.25">
      <c r="G28" s="797"/>
      <c r="H28"/>
      <c r="I28" s="783">
        <v>60</v>
      </c>
      <c r="J28" s="1047" t="s">
        <v>186</v>
      </c>
      <c r="K28" s="1054"/>
      <c r="L28" s="1054"/>
      <c r="M28" s="1054"/>
      <c r="N28"/>
      <c r="O28" s="794"/>
    </row>
    <row r="29" spans="2:15" ht="20" hidden="1" x14ac:dyDescent="0.2">
      <c r="G29" s="797"/>
      <c r="H29"/>
      <c r="I29"/>
      <c r="J29" s="761"/>
      <c r="K29" s="761" t="s">
        <v>160</v>
      </c>
      <c r="L29" s="761" t="s">
        <v>161</v>
      </c>
      <c r="M29" s="924"/>
      <c r="N29"/>
      <c r="O29" s="794"/>
    </row>
    <row r="30" spans="2:15" ht="20" hidden="1" x14ac:dyDescent="0.2">
      <c r="G30" s="799"/>
      <c r="H30" s="47"/>
      <c r="I30"/>
      <c r="J30" s="763"/>
      <c r="K30" s="763">
        <f>((+H8-H23)/H8*BQ51)</f>
        <v>242.7583043650894</v>
      </c>
      <c r="L30" s="763">
        <f>(H23/H8*BQ51)</f>
        <v>-87.958304365089376</v>
      </c>
      <c r="M30" s="761" t="s">
        <v>168</v>
      </c>
      <c r="N30"/>
      <c r="O30" s="794"/>
    </row>
    <row r="31" spans="2:15" ht="20" hidden="1" x14ac:dyDescent="0.2">
      <c r="G31" s="799"/>
      <c r="H31" s="47"/>
      <c r="I31"/>
      <c r="J31" s="764"/>
      <c r="K31" s="764">
        <f>ABS($H$1/K30)</f>
        <v>74.147823890421549</v>
      </c>
      <c r="L31" s="764">
        <f>ABS($H$1/L30)</f>
        <v>204.64241699438892</v>
      </c>
      <c r="M31" s="766" t="s">
        <v>167</v>
      </c>
      <c r="N31"/>
      <c r="O31" s="794"/>
    </row>
    <row r="32" spans="2:15" ht="20" hidden="1" x14ac:dyDescent="0.2">
      <c r="G32" s="799"/>
      <c r="H32" s="47"/>
      <c r="I32"/>
      <c r="J32" s="1045"/>
      <c r="K32" s="1045"/>
      <c r="L32" s="1045">
        <f>ABS($E$20/BQ51)*2</f>
        <v>103.35917312661498</v>
      </c>
      <c r="M32" s="1046" t="s">
        <v>308</v>
      </c>
      <c r="N32" s="1052" t="s">
        <v>309</v>
      </c>
      <c r="O32" s="794"/>
    </row>
    <row r="33" spans="7:15" ht="19" hidden="1" thickBot="1" x14ac:dyDescent="0.25">
      <c r="G33" s="799"/>
      <c r="H33" s="47"/>
      <c r="I33"/>
      <c r="J33" s="43"/>
      <c r="K33" s="43"/>
      <c r="L33" s="43"/>
      <c r="M33" s="43"/>
      <c r="N33"/>
      <c r="O33" s="794"/>
    </row>
    <row r="34" spans="7:15" ht="21" hidden="1" thickBot="1" x14ac:dyDescent="0.25">
      <c r="G34" s="799"/>
      <c r="H34" s="47"/>
      <c r="I34" s="783">
        <v>61</v>
      </c>
      <c r="J34" s="1047" t="s">
        <v>200</v>
      </c>
      <c r="K34" s="1054"/>
      <c r="L34" s="1054"/>
      <c r="M34" s="1054"/>
      <c r="N34"/>
      <c r="O34" s="794"/>
    </row>
    <row r="35" spans="7:15" ht="20" hidden="1" x14ac:dyDescent="0.2">
      <c r="G35" s="799"/>
      <c r="H35" s="47"/>
      <c r="I35"/>
      <c r="J35" s="761" t="s">
        <v>162</v>
      </c>
      <c r="K35" s="761" t="s">
        <v>170</v>
      </c>
      <c r="L35" s="761"/>
      <c r="M35" s="924"/>
      <c r="N35"/>
      <c r="O35" s="794"/>
    </row>
    <row r="36" spans="7:15" ht="20" hidden="1" x14ac:dyDescent="0.2">
      <c r="G36" s="799"/>
      <c r="H36" s="47"/>
      <c r="I36"/>
      <c r="J36" s="763">
        <f>+H16/H8*BQ51</f>
        <v>-35.881695634910628</v>
      </c>
      <c r="K36" s="763">
        <f>((H8-H16)/H8)*BQ51</f>
        <v>190.68169563491062</v>
      </c>
      <c r="L36" s="763"/>
      <c r="M36" s="761" t="s">
        <v>168</v>
      </c>
      <c r="N36"/>
      <c r="O36" s="794"/>
    </row>
    <row r="37" spans="7:15" ht="20" hidden="1" x14ac:dyDescent="0.2">
      <c r="G37" s="799"/>
      <c r="H37" s="47"/>
      <c r="I37"/>
      <c r="J37" s="764">
        <f>ABS($H$1/J36)</f>
        <v>501.64853364641817</v>
      </c>
      <c r="K37" s="764">
        <f>ABS($H$1/K36)</f>
        <v>94.398153635384929</v>
      </c>
      <c r="L37" s="764"/>
      <c r="M37" s="766" t="s">
        <v>167</v>
      </c>
      <c r="N37"/>
      <c r="O37" s="794"/>
    </row>
    <row r="38" spans="7:15" ht="20" hidden="1" x14ac:dyDescent="0.2">
      <c r="G38" s="799"/>
      <c r="H38" s="47"/>
      <c r="I38"/>
      <c r="J38" s="1045">
        <f>ABS($E$20/BQ51)*2</f>
        <v>103.35917312661498</v>
      </c>
      <c r="K38" s="1045"/>
      <c r="L38" s="1045"/>
      <c r="M38" s="1046" t="s">
        <v>308</v>
      </c>
      <c r="N38" s="1052" t="s">
        <v>309</v>
      </c>
      <c r="O38" s="794"/>
    </row>
    <row r="39" spans="7:15" ht="19" hidden="1" thickBot="1" x14ac:dyDescent="0.25">
      <c r="G39" s="797"/>
      <c r="H39"/>
      <c r="I39"/>
      <c r="J39" s="43"/>
      <c r="K39" s="43"/>
      <c r="L39" s="43"/>
      <c r="M39" s="43"/>
      <c r="N39"/>
      <c r="O39" s="794"/>
    </row>
    <row r="40" spans="7:15" ht="24" hidden="1" thickBot="1" x14ac:dyDescent="0.3">
      <c r="G40" s="797"/>
      <c r="H40" s="841" t="s">
        <v>207</v>
      </c>
      <c r="I40" s="783">
        <v>62</v>
      </c>
      <c r="J40" s="1047" t="s">
        <v>201</v>
      </c>
      <c r="K40" s="1054"/>
      <c r="L40" s="1054"/>
      <c r="M40" s="1054"/>
      <c r="N40"/>
      <c r="O40" s="794"/>
    </row>
    <row r="41" spans="7:15" ht="20" hidden="1" x14ac:dyDescent="0.2">
      <c r="G41" s="797"/>
      <c r="H41" s="800" t="s">
        <v>195</v>
      </c>
      <c r="I41"/>
      <c r="J41" s="761" t="s">
        <v>162</v>
      </c>
      <c r="K41" s="761" t="s">
        <v>170</v>
      </c>
      <c r="L41" s="771" t="s">
        <v>187</v>
      </c>
      <c r="M41" s="924"/>
      <c r="N41"/>
      <c r="O41" s="794"/>
    </row>
    <row r="42" spans="7:15" ht="23" hidden="1" x14ac:dyDescent="0.25">
      <c r="G42" s="801" t="s">
        <v>190</v>
      </c>
      <c r="H42" s="851">
        <f>SUM(BQ125:CA125)</f>
        <v>10</v>
      </c>
      <c r="I42"/>
      <c r="J42" s="763">
        <f>+H43/H8*BQ51/2</f>
        <v>108.36</v>
      </c>
      <c r="K42" s="763">
        <f>((H8-H43)/H8)*BQ51/2</f>
        <v>-30.960000000000004</v>
      </c>
      <c r="L42" s="763">
        <f>+BQ51/2</f>
        <v>77.400000000000006</v>
      </c>
      <c r="M42" s="761" t="s">
        <v>168</v>
      </c>
      <c r="N42"/>
      <c r="O42" s="794"/>
    </row>
    <row r="43" spans="7:15" ht="20" hidden="1" x14ac:dyDescent="0.2">
      <c r="G43" s="793" t="s">
        <v>188</v>
      </c>
      <c r="H43" s="850">
        <f>$H$5-((H42-1)*$E$2)</f>
        <v>301</v>
      </c>
      <c r="I43"/>
      <c r="J43" s="764">
        <f>ABS($H$1/J42)</f>
        <v>166.11295681063123</v>
      </c>
      <c r="K43" s="764">
        <f>ABS($H$1/K42)</f>
        <v>581.39534883720921</v>
      </c>
      <c r="L43" s="764">
        <f>ABS($H$1/L42)</f>
        <v>232.55813953488371</v>
      </c>
      <c r="M43" s="766" t="s">
        <v>167</v>
      </c>
      <c r="N43"/>
      <c r="O43" s="794"/>
    </row>
    <row r="44" spans="7:15" ht="20" hidden="1" x14ac:dyDescent="0.2">
      <c r="G44" s="799"/>
      <c r="H44" s="47"/>
      <c r="I44"/>
      <c r="J44" s="1045"/>
      <c r="K44" s="1045"/>
      <c r="L44" s="1045">
        <f>ABS($E$20/BQ51)*2</f>
        <v>103.35917312661498</v>
      </c>
      <c r="M44" s="1046" t="s">
        <v>308</v>
      </c>
      <c r="N44" s="1052" t="s">
        <v>309</v>
      </c>
      <c r="O44" s="794"/>
    </row>
    <row r="45" spans="7:15" ht="21" hidden="1" thickBot="1" x14ac:dyDescent="0.25">
      <c r="G45" s="797"/>
      <c r="H45" s="842" t="s">
        <v>208</v>
      </c>
      <c r="I45"/>
      <c r="J45" s="43"/>
      <c r="K45" s="43"/>
      <c r="L45" s="43"/>
      <c r="M45" s="43"/>
      <c r="N45"/>
      <c r="O45" s="794"/>
    </row>
    <row r="46" spans="7:15" ht="21" hidden="1" thickBot="1" x14ac:dyDescent="0.25">
      <c r="G46" s="803"/>
      <c r="H46" s="804" t="s">
        <v>195</v>
      </c>
      <c r="I46" s="783">
        <v>63</v>
      </c>
      <c r="J46" s="1047" t="s">
        <v>202</v>
      </c>
      <c r="K46" s="1054"/>
      <c r="L46" s="1054"/>
      <c r="M46" s="1054"/>
      <c r="N46"/>
      <c r="O46" s="794"/>
    </row>
    <row r="47" spans="7:15" ht="23" hidden="1" x14ac:dyDescent="0.25">
      <c r="G47" s="801" t="s">
        <v>190</v>
      </c>
      <c r="H47" s="852">
        <f>SUM(CQ125:DA125)</f>
        <v>0</v>
      </c>
      <c r="I47"/>
      <c r="J47" s="771" t="s">
        <v>189</v>
      </c>
      <c r="K47" s="761" t="s">
        <v>160</v>
      </c>
      <c r="L47" s="761" t="s">
        <v>161</v>
      </c>
      <c r="M47" s="924"/>
      <c r="N47"/>
      <c r="O47" s="794"/>
    </row>
    <row r="48" spans="7:15" ht="20" hidden="1" x14ac:dyDescent="0.2">
      <c r="G48" s="793" t="s">
        <v>188</v>
      </c>
      <c r="H48" s="850">
        <f>($E$2*(H47-1))-$H$4</f>
        <v>-903</v>
      </c>
      <c r="I48"/>
      <c r="J48" s="763">
        <f>+BQ51/2</f>
        <v>77.400000000000006</v>
      </c>
      <c r="K48" s="763">
        <f>((H8-H48)/H8)*BQ51/2</f>
        <v>402.48</v>
      </c>
      <c r="L48" s="763">
        <f>+H48/H8*BQ51/2</f>
        <v>-325.08000000000004</v>
      </c>
      <c r="M48" s="761" t="s">
        <v>168</v>
      </c>
      <c r="N48"/>
      <c r="O48" s="794"/>
    </row>
    <row r="49" spans="5:141" ht="20" hidden="1" x14ac:dyDescent="0.2">
      <c r="G49" s="797"/>
      <c r="H49"/>
      <c r="I49"/>
      <c r="J49" s="764">
        <f>ABS($H$1/J48)</f>
        <v>232.55813953488371</v>
      </c>
      <c r="K49" s="764">
        <f>ABS($H$1/K48)</f>
        <v>44.722719141323793</v>
      </c>
      <c r="L49" s="764">
        <f>ABS($H$1/L48)</f>
        <v>55.370985603543737</v>
      </c>
      <c r="M49" s="766" t="s">
        <v>167</v>
      </c>
      <c r="N49" s="58"/>
      <c r="O49" s="809"/>
    </row>
    <row r="50" spans="5:141" ht="20" hidden="1" x14ac:dyDescent="0.2">
      <c r="E50" s="300"/>
      <c r="F50" s="300"/>
      <c r="G50" s="797"/>
      <c r="H50"/>
      <c r="I50"/>
      <c r="J50" s="1045">
        <f>ABS($E$20/BQ51)*2</f>
        <v>103.35917312661498</v>
      </c>
      <c r="K50" s="1045"/>
      <c r="L50" s="1045"/>
      <c r="M50" s="1046" t="s">
        <v>308</v>
      </c>
      <c r="N50" s="1052" t="s">
        <v>309</v>
      </c>
      <c r="O50" s="794"/>
    </row>
    <row r="51" spans="5:141" ht="31.5" customHeight="1" thickBot="1" x14ac:dyDescent="0.25">
      <c r="E51" s="300"/>
      <c r="F51" s="300"/>
      <c r="G51" s="797"/>
      <c r="H51"/>
      <c r="I51"/>
      <c r="J51" s="43"/>
      <c r="K51" s="43"/>
      <c r="L51" s="43"/>
      <c r="M51" s="43"/>
      <c r="N51"/>
      <c r="O51" s="794"/>
      <c r="BE51" s="58"/>
      <c r="BF51" s="58"/>
      <c r="BG51" s="58"/>
      <c r="BH51" s="58"/>
      <c r="BO51" s="48"/>
      <c r="BP51" s="59" t="s">
        <v>23</v>
      </c>
      <c r="BQ51" s="1105">
        <f>+C7</f>
        <v>154.80000000000001</v>
      </c>
      <c r="BR51" s="1105"/>
      <c r="BS51" s="60" t="s">
        <v>15</v>
      </c>
      <c r="BT51" s="60"/>
      <c r="BU51" s="61" t="s">
        <v>301</v>
      </c>
      <c r="BV51" s="62"/>
      <c r="BW51" s="62"/>
      <c r="BX51" s="62"/>
      <c r="BY51" s="62"/>
      <c r="BZ51" s="62"/>
      <c r="CA51" s="62"/>
      <c r="CB51" s="62"/>
      <c r="CC51" s="62"/>
      <c r="CD51" s="62"/>
      <c r="CE51" s="62"/>
      <c r="CF51" s="62"/>
      <c r="CG51" s="62"/>
      <c r="CH51" s="62"/>
      <c r="CI51" s="62"/>
      <c r="CJ51" s="62"/>
      <c r="CK51" s="62"/>
      <c r="CL51" s="62"/>
      <c r="CM51" s="62"/>
      <c r="CN51" s="62"/>
      <c r="CO51" s="62"/>
      <c r="CP51" s="62"/>
      <c r="CQ51" s="62"/>
      <c r="CR51" s="62"/>
      <c r="CS51" s="62"/>
      <c r="CT51" s="62"/>
      <c r="CU51" s="62"/>
      <c r="CV51" s="62"/>
      <c r="CW51" s="62"/>
      <c r="CX51" s="62"/>
      <c r="CY51" s="62"/>
      <c r="CZ51" s="62"/>
      <c r="DA51" s="62"/>
      <c r="DB51" s="62"/>
      <c r="DC51" s="62"/>
      <c r="DD51" s="62"/>
    </row>
    <row r="52" spans="5:141" ht="35.5" customHeight="1" thickBot="1" x14ac:dyDescent="0.3">
      <c r="E52" s="300"/>
      <c r="F52" s="300"/>
      <c r="G52" s="797"/>
      <c r="H52"/>
      <c r="I52" s="783">
        <v>64</v>
      </c>
      <c r="J52" s="1047" t="s">
        <v>203</v>
      </c>
      <c r="K52" s="1054"/>
      <c r="L52" s="1054"/>
      <c r="M52" s="1054"/>
      <c r="N52"/>
      <c r="O52" s="794"/>
      <c r="U52" s="97"/>
      <c r="AB52" s="97"/>
      <c r="AC52" s="97"/>
      <c r="AD52" s="97"/>
      <c r="AE52" s="97"/>
      <c r="BE52" s="68"/>
      <c r="BF52" s="68"/>
      <c r="BG52" s="68"/>
      <c r="BH52" s="68"/>
      <c r="BM52" s="65" t="b">
        <f>AND(BQ53&gt;0,CO53&gt;0)</f>
        <v>1</v>
      </c>
      <c r="BN52" s="752" t="str">
        <f>IF(BM52=TRUE,"","negative force at the motor")</f>
        <v/>
      </c>
      <c r="BO52" s="866" t="s">
        <v>112</v>
      </c>
      <c r="BP52" s="583" t="s">
        <v>25</v>
      </c>
      <c r="BQ52" s="619" t="s">
        <v>26</v>
      </c>
      <c r="BR52" s="620"/>
      <c r="BS52" s="620"/>
      <c r="BT52" s="620"/>
      <c r="BU52" s="620"/>
      <c r="BV52" s="620"/>
      <c r="BW52" s="620"/>
      <c r="BX52" s="620"/>
      <c r="BY52" s="620"/>
      <c r="BZ52" s="620"/>
      <c r="CA52" s="620"/>
      <c r="CB52" s="620"/>
      <c r="CC52" s="620"/>
      <c r="CD52" s="620"/>
      <c r="CE52" s="620"/>
      <c r="CF52" s="620"/>
      <c r="CG52" s="620"/>
      <c r="CH52" s="620"/>
      <c r="CI52" s="699"/>
      <c r="CJ52" s="620"/>
      <c r="CK52" s="700"/>
      <c r="CL52" s="700"/>
      <c r="CM52" s="700"/>
      <c r="CN52" s="700"/>
      <c r="CO52" s="620"/>
      <c r="CP52" s="625" t="s">
        <v>27</v>
      </c>
      <c r="CQ52" s="1092"/>
      <c r="CR52" s="1092"/>
      <c r="CS52" s="1092"/>
      <c r="CT52" s="1092"/>
      <c r="CU52" s="1092"/>
      <c r="CV52" s="1092"/>
      <c r="CW52" s="1092"/>
      <c r="CX52" s="1092"/>
      <c r="CY52" s="1092"/>
      <c r="CZ52" s="1092"/>
      <c r="DA52" s="1093"/>
      <c r="DB52" s="62"/>
      <c r="DC52" s="62"/>
      <c r="DD52" s="62"/>
    </row>
    <row r="53" spans="5:141" ht="44" thickBot="1" x14ac:dyDescent="0.3">
      <c r="E53" s="300"/>
      <c r="F53" s="300"/>
      <c r="G53" s="801" t="s">
        <v>190</v>
      </c>
      <c r="H53" s="806" t="s">
        <v>197</v>
      </c>
      <c r="I53"/>
      <c r="J53" s="771" t="s">
        <v>189</v>
      </c>
      <c r="K53" s="761"/>
      <c r="L53" s="771" t="s">
        <v>187</v>
      </c>
      <c r="M53" s="924"/>
      <c r="N53"/>
      <c r="O53" s="794"/>
      <c r="BE53" s="68"/>
      <c r="BF53" s="68"/>
      <c r="BG53" s="68"/>
      <c r="BH53" s="68"/>
      <c r="BL53" s="767">
        <v>1</v>
      </c>
      <c r="BM53" s="1055" t="b">
        <f>AND(BO53&gt;=10,$AZ$138&gt;=10,$BA$138&gt;=10,$AZ$159&gt;=10,$BA$159&gt;=10)</f>
        <v>1</v>
      </c>
      <c r="BN53" s="67" t="str">
        <f>IF(BM53=TRUE,"O K","OVERLOAD")</f>
        <v>O K</v>
      </c>
      <c r="BO53" s="781">
        <f>+MIN(J7:L8)</f>
        <v>75.295294643983496</v>
      </c>
      <c r="BP53" s="584" t="s">
        <v>134</v>
      </c>
      <c r="BQ53" s="1100">
        <f>+((D4-D5)/D4)*C7</f>
        <v>48.551660873017873</v>
      </c>
      <c r="BR53" s="1101"/>
      <c r="BS53" s="626"/>
      <c r="BT53" s="626"/>
      <c r="BU53" s="626"/>
      <c r="BV53" s="627"/>
      <c r="BW53" s="627"/>
      <c r="BX53" s="627"/>
      <c r="BY53" s="701"/>
      <c r="BZ53" s="701"/>
      <c r="CA53" s="701"/>
      <c r="CB53" s="701"/>
      <c r="CC53" s="701"/>
      <c r="CD53" s="701"/>
      <c r="CE53" s="701"/>
      <c r="CF53" s="701"/>
      <c r="CG53" s="701"/>
      <c r="CH53" s="701"/>
      <c r="CI53" s="702"/>
      <c r="CJ53" s="626"/>
      <c r="CK53" s="626"/>
      <c r="CL53" s="626"/>
      <c r="CM53" s="627"/>
      <c r="CN53" s="627"/>
      <c r="CO53" s="1090">
        <f>+(D5/D4)*C7</f>
        <v>106.24833912698213</v>
      </c>
      <c r="CP53" s="1091"/>
      <c r="CQ53" s="1094"/>
      <c r="CR53" s="1094"/>
      <c r="CS53" s="1094"/>
      <c r="CT53" s="1094"/>
      <c r="CU53" s="1094"/>
      <c r="CV53" s="1094"/>
      <c r="CW53" s="1094"/>
      <c r="CX53" s="1094"/>
      <c r="CY53" s="1094"/>
      <c r="CZ53" s="1094"/>
      <c r="DA53" s="1095"/>
      <c r="DB53" s="62"/>
      <c r="DC53" s="62"/>
      <c r="DD53" s="62"/>
    </row>
    <row r="54" spans="5:141" ht="26" thickBot="1" x14ac:dyDescent="0.3">
      <c r="E54" s="300"/>
      <c r="F54" s="300"/>
      <c r="G54" s="793" t="s">
        <v>188</v>
      </c>
      <c r="H54" s="756"/>
      <c r="I54"/>
      <c r="J54" s="763">
        <f>+((H6-D3)/H6)*BQ51</f>
        <v>86.699394416103345</v>
      </c>
      <c r="K54" s="763"/>
      <c r="L54" s="763">
        <f>+(D3/H6)*BQ51</f>
        <v>68.100605583896666</v>
      </c>
      <c r="M54" s="761" t="s">
        <v>168</v>
      </c>
      <c r="N54"/>
      <c r="O54" s="794"/>
      <c r="T54" s="304"/>
      <c r="BE54" s="68"/>
      <c r="BF54" s="68"/>
      <c r="BG54" s="68"/>
      <c r="BH54" s="68"/>
      <c r="BN54" s="69"/>
      <c r="BO54" s="68"/>
      <c r="BP54" s="70"/>
      <c r="BQ54" s="71"/>
      <c r="BR54" s="71"/>
      <c r="BS54" s="70"/>
      <c r="BT54" s="70"/>
      <c r="BU54" s="70"/>
      <c r="BV54" s="70"/>
      <c r="BW54" s="70"/>
      <c r="BX54" s="70"/>
      <c r="BY54" s="70"/>
      <c r="BZ54" s="70"/>
      <c r="CA54" s="70"/>
      <c r="CB54" s="70"/>
      <c r="CC54" s="70"/>
      <c r="CD54" s="70"/>
      <c r="CE54" s="70"/>
      <c r="CF54" s="70"/>
      <c r="CG54" s="70"/>
      <c r="CH54" s="70"/>
      <c r="CJ54" s="60"/>
      <c r="CK54" s="60"/>
      <c r="CL54" s="71"/>
      <c r="CM54" s="72"/>
      <c r="CN54" s="72"/>
      <c r="CO54" s="72"/>
      <c r="CP54" s="72"/>
      <c r="CQ54" s="72"/>
      <c r="CR54" s="72"/>
      <c r="CS54" s="72"/>
      <c r="CT54" s="72"/>
      <c r="CU54" s="72"/>
      <c r="CV54" s="72"/>
      <c r="CW54" s="72"/>
      <c r="CX54" s="72"/>
      <c r="CY54" s="72"/>
      <c r="CZ54" s="72"/>
      <c r="DA54" s="72"/>
      <c r="DB54" s="72"/>
      <c r="DC54" s="62"/>
      <c r="DD54" s="62"/>
    </row>
    <row r="55" spans="5:141" ht="35.5" customHeight="1" thickBot="1" x14ac:dyDescent="0.3">
      <c r="E55" s="300"/>
      <c r="F55" s="300"/>
      <c r="G55" s="799"/>
      <c r="H55" s="47"/>
      <c r="I55"/>
      <c r="J55" s="764">
        <f>ABS($H$1/J54)</f>
        <v>207.61390689318034</v>
      </c>
      <c r="K55" s="764"/>
      <c r="L55" s="764">
        <f>ABS($H$1/L54)</f>
        <v>264.31483017907772</v>
      </c>
      <c r="M55" s="766" t="s">
        <v>167</v>
      </c>
      <c r="N55"/>
      <c r="O55" s="794"/>
      <c r="U55" s="97"/>
      <c r="AB55" s="97"/>
      <c r="AC55" s="97"/>
      <c r="AD55" s="97"/>
      <c r="AE55" s="97"/>
      <c r="BE55" s="68"/>
      <c r="BF55" s="68"/>
      <c r="BG55" s="68"/>
      <c r="BH55" s="68"/>
      <c r="BM55" s="65" t="b">
        <f>AND(CB56&gt;0,CZ56&gt;0)</f>
        <v>1</v>
      </c>
      <c r="BN55" s="752" t="str">
        <f>IF(BM55=TRUE,"","negative force at the motor")</f>
        <v/>
      </c>
      <c r="BO55" s="866" t="s">
        <v>112</v>
      </c>
      <c r="BP55" s="585" t="s">
        <v>25</v>
      </c>
      <c r="BQ55" s="1119"/>
      <c r="BR55" s="1120"/>
      <c r="BS55" s="1120"/>
      <c r="BT55" s="1120"/>
      <c r="BU55" s="1120"/>
      <c r="BV55" s="1120"/>
      <c r="BW55" s="1120"/>
      <c r="BX55" s="1120"/>
      <c r="BY55" s="1120"/>
      <c r="BZ55" s="1120"/>
      <c r="CA55" s="1120"/>
      <c r="CB55" s="615" t="s">
        <v>26</v>
      </c>
      <c r="CC55" s="617"/>
      <c r="CD55" s="617"/>
      <c r="CE55" s="617"/>
      <c r="CF55" s="617"/>
      <c r="CG55" s="617"/>
      <c r="CH55" s="617"/>
      <c r="CI55" s="617"/>
      <c r="CJ55" s="617"/>
      <c r="CK55" s="617"/>
      <c r="CL55" s="617"/>
      <c r="CM55" s="617"/>
      <c r="CN55" s="703"/>
      <c r="CO55" s="608"/>
      <c r="CP55" s="608"/>
      <c r="CQ55" s="608"/>
      <c r="CR55" s="608"/>
      <c r="CS55" s="704"/>
      <c r="CT55" s="704"/>
      <c r="CU55" s="703"/>
      <c r="CV55" s="703"/>
      <c r="CW55" s="703"/>
      <c r="CX55" s="703"/>
      <c r="CY55" s="703"/>
      <c r="CZ55" s="608"/>
      <c r="DA55" s="609" t="s">
        <v>27</v>
      </c>
      <c r="DB55" s="73"/>
      <c r="DC55" s="62"/>
      <c r="DD55" s="62"/>
    </row>
    <row r="56" spans="5:141" ht="44" thickBot="1" x14ac:dyDescent="0.3">
      <c r="E56" s="300"/>
      <c r="F56" s="300"/>
      <c r="G56" s="799"/>
      <c r="H56" s="47"/>
      <c r="I56" s="58"/>
      <c r="J56" s="1045">
        <f>ABS($E$20/BQ51)*2</f>
        <v>103.35917312661498</v>
      </c>
      <c r="K56" s="1045"/>
      <c r="L56" s="1045"/>
      <c r="M56" s="1046" t="s">
        <v>308</v>
      </c>
      <c r="N56" s="1052" t="s">
        <v>309</v>
      </c>
      <c r="O56" s="794"/>
      <c r="U56" s="97"/>
      <c r="AB56" s="97"/>
      <c r="AC56" s="97"/>
      <c r="AD56" s="97"/>
      <c r="AE56" s="97"/>
      <c r="BL56" s="767">
        <v>2</v>
      </c>
      <c r="BM56" s="1055" t="b">
        <f>AND(BO56&gt;=10,$AZ$138&gt;=10,$BA$138&gt;=10,$AZ$159&gt;=10,$BA$159&gt;=10)</f>
        <v>1</v>
      </c>
      <c r="BN56" s="67" t="str">
        <f>IF(BM56=TRUE,"O K","OVERLOAD")</f>
        <v>O K</v>
      </c>
      <c r="BO56" s="781">
        <f>+MIN(J13:L14)</f>
        <v>68.573195287498905</v>
      </c>
      <c r="BP56" s="586" t="s">
        <v>111</v>
      </c>
      <c r="BQ56" s="1121"/>
      <c r="BR56" s="1122"/>
      <c r="BS56" s="1122"/>
      <c r="BT56" s="1122"/>
      <c r="BU56" s="1122"/>
      <c r="BV56" s="1122"/>
      <c r="BW56" s="1122"/>
      <c r="BX56" s="1122"/>
      <c r="BY56" s="1122"/>
      <c r="BZ56" s="1122"/>
      <c r="CA56" s="1122"/>
      <c r="CB56" s="1123">
        <f>+((D4-D3)/D4)*C7</f>
        <v>116.66366087301789</v>
      </c>
      <c r="CC56" s="1124"/>
      <c r="CD56" s="705"/>
      <c r="CE56" s="705"/>
      <c r="CF56" s="705"/>
      <c r="CG56" s="705"/>
      <c r="CH56" s="705"/>
      <c r="CI56" s="705"/>
      <c r="CJ56" s="705"/>
      <c r="CK56" s="705"/>
      <c r="CL56" s="705"/>
      <c r="CM56" s="705"/>
      <c r="CN56" s="706"/>
      <c r="CO56" s="707"/>
      <c r="CP56" s="707"/>
      <c r="CQ56" s="707"/>
      <c r="CR56" s="707"/>
      <c r="CS56" s="708"/>
      <c r="CT56" s="708"/>
      <c r="CU56" s="698"/>
      <c r="CV56" s="698"/>
      <c r="CW56" s="698"/>
      <c r="CX56" s="698"/>
      <c r="CY56" s="698"/>
      <c r="CZ56" s="1088">
        <f>+(D3/D4)*C7</f>
        <v>38.136339126982129</v>
      </c>
      <c r="DA56" s="1089"/>
      <c r="DB56" s="75"/>
      <c r="DC56" s="62"/>
      <c r="DD56" s="62"/>
    </row>
    <row r="57" spans="5:141" ht="24" thickBot="1" x14ac:dyDescent="0.3">
      <c r="E57" s="300"/>
      <c r="F57" s="300"/>
      <c r="G57" s="797"/>
      <c r="H57"/>
      <c r="I57"/>
      <c r="J57"/>
      <c r="K57"/>
      <c r="L57"/>
      <c r="M57"/>
      <c r="N57"/>
      <c r="O57" s="794"/>
      <c r="U57" s="97"/>
      <c r="AB57" s="97"/>
      <c r="AC57" s="97"/>
      <c r="AD57" s="97"/>
      <c r="AE57" s="97"/>
      <c r="BN57" s="69"/>
      <c r="BO57" s="11"/>
      <c r="BP57" s="76"/>
      <c r="BQ57" s="76"/>
      <c r="BR57" s="76"/>
      <c r="BS57" s="76"/>
      <c r="BT57" s="76"/>
      <c r="BU57" s="76"/>
      <c r="BV57" s="76"/>
      <c r="BW57" s="76"/>
      <c r="BX57" s="76"/>
      <c r="BY57" s="77"/>
      <c r="BZ57" s="77"/>
      <c r="CA57" s="72"/>
      <c r="CB57" s="72"/>
      <c r="CC57" s="72"/>
      <c r="CD57" s="72"/>
      <c r="CE57" s="72"/>
      <c r="CF57" s="72"/>
      <c r="CG57" s="72"/>
      <c r="CH57" s="72"/>
      <c r="CI57" s="72"/>
      <c r="CJ57" s="72"/>
      <c r="CK57" s="72"/>
      <c r="CL57" s="72"/>
      <c r="CM57" s="72"/>
      <c r="CN57" s="26"/>
      <c r="CO57" s="78"/>
      <c r="CP57" s="78"/>
      <c r="CQ57" s="78"/>
      <c r="CR57" s="78"/>
      <c r="CS57" s="75"/>
      <c r="CT57" s="75"/>
      <c r="CU57" s="75"/>
      <c r="CV57" s="75"/>
      <c r="CW57" s="75"/>
      <c r="CX57" s="75"/>
      <c r="CY57" s="75"/>
      <c r="CZ57" s="75"/>
      <c r="DA57" s="75"/>
      <c r="DB57" s="75"/>
      <c r="DC57" s="62"/>
      <c r="DD57" s="62"/>
    </row>
    <row r="58" spans="5:141" ht="35.5" customHeight="1" thickBot="1" x14ac:dyDescent="0.25">
      <c r="E58" s="300"/>
      <c r="F58" s="300"/>
      <c r="G58" s="797"/>
      <c r="H58"/>
      <c r="I58"/>
      <c r="J58"/>
      <c r="K58"/>
      <c r="L58"/>
      <c r="M58"/>
      <c r="N58"/>
      <c r="O58" s="794"/>
      <c r="U58" s="97"/>
      <c r="AB58" s="97"/>
      <c r="AC58" s="97"/>
      <c r="AD58" s="97"/>
      <c r="AE58" s="97"/>
      <c r="BM58" s="65" t="b">
        <f>AND(CB59&gt;0,CQ59&gt;0)</f>
        <v>1</v>
      </c>
      <c r="BN58" s="752" t="str">
        <f>IF(BM58=TRUE,"","negative force at the motor")</f>
        <v/>
      </c>
      <c r="BO58" s="866" t="s">
        <v>112</v>
      </c>
      <c r="BP58" s="587" t="s">
        <v>25</v>
      </c>
      <c r="BQ58" s="1125"/>
      <c r="BR58" s="1126"/>
      <c r="BS58" s="1126"/>
      <c r="BT58" s="1126"/>
      <c r="BU58" s="1126"/>
      <c r="BV58" s="1126"/>
      <c r="BW58" s="1126"/>
      <c r="BX58" s="1126"/>
      <c r="BY58" s="1126"/>
      <c r="BZ58" s="1126"/>
      <c r="CA58" s="1126"/>
      <c r="CB58" s="709" t="s">
        <v>26</v>
      </c>
      <c r="CC58" s="710"/>
      <c r="CD58" s="710"/>
      <c r="CE58" s="710"/>
      <c r="CF58" s="710"/>
      <c r="CG58" s="710"/>
      <c r="CH58" s="710"/>
      <c r="CI58" s="711"/>
      <c r="CJ58" s="710"/>
      <c r="CK58" s="712"/>
      <c r="CL58" s="712"/>
      <c r="CM58" s="710"/>
      <c r="CN58" s="710"/>
      <c r="CO58" s="710"/>
      <c r="CP58" s="710"/>
      <c r="CQ58" s="710"/>
      <c r="CR58" s="713" t="s">
        <v>27</v>
      </c>
      <c r="CS58" s="1092"/>
      <c r="CT58" s="1092"/>
      <c r="CU58" s="1092"/>
      <c r="CV58" s="1092"/>
      <c r="CW58" s="1092"/>
      <c r="CX58" s="1092"/>
      <c r="CY58" s="1092"/>
      <c r="CZ58" s="1092"/>
      <c r="DA58" s="1093"/>
      <c r="DB58" s="72"/>
      <c r="DC58" s="62"/>
      <c r="DD58" s="62"/>
    </row>
    <row r="59" spans="5:141" ht="31" thickBot="1" x14ac:dyDescent="0.3">
      <c r="E59" s="300"/>
      <c r="F59" s="300"/>
      <c r="G59" s="797"/>
      <c r="H59"/>
      <c r="I59"/>
      <c r="J59"/>
      <c r="K59"/>
      <c r="L59"/>
      <c r="M59"/>
      <c r="N59"/>
      <c r="O59" s="794"/>
      <c r="U59" s="97"/>
      <c r="AB59" s="97"/>
      <c r="AC59" s="97"/>
      <c r="AD59" s="97"/>
      <c r="AE59" s="97"/>
      <c r="BL59" s="767">
        <v>3</v>
      </c>
      <c r="BM59" s="1055" t="b">
        <f>AND(BO59&gt;=10,$AZ$138&gt;=10,$BA$138&gt;=10,$AZ$159&gt;=10,$BA$159&gt;=10)</f>
        <v>1</v>
      </c>
      <c r="BN59" s="67" t="str">
        <f>IF(BM59=TRUE,"O K","OVERLOAD")</f>
        <v>O K</v>
      </c>
      <c r="BO59" s="782">
        <f>+$E$20/(MAX(CB59,CQ59))</f>
        <v>84.023048681943806</v>
      </c>
      <c r="BP59" s="588" t="s">
        <v>108</v>
      </c>
      <c r="BQ59" s="1127"/>
      <c r="BR59" s="1128"/>
      <c r="BS59" s="1128"/>
      <c r="BT59" s="1128"/>
      <c r="BU59" s="1128"/>
      <c r="BV59" s="1128"/>
      <c r="BW59" s="1128"/>
      <c r="BX59" s="1128"/>
      <c r="BY59" s="1128"/>
      <c r="BZ59" s="1128"/>
      <c r="CA59" s="1128"/>
      <c r="CB59" s="1098">
        <f>+((D2-D3)/D2)*C7</f>
        <v>95.211970114090448</v>
      </c>
      <c r="CC59" s="1099"/>
      <c r="CD59" s="714"/>
      <c r="CE59" s="714"/>
      <c r="CF59" s="714"/>
      <c r="CG59" s="714"/>
      <c r="CH59" s="714"/>
      <c r="CI59" s="715"/>
      <c r="CJ59" s="714"/>
      <c r="CK59" s="716"/>
      <c r="CL59" s="716"/>
      <c r="CM59" s="717"/>
      <c r="CN59" s="717"/>
      <c r="CO59" s="717"/>
      <c r="CP59" s="717"/>
      <c r="CQ59" s="1086">
        <f>+(D3/D2)*C7</f>
        <v>59.588029885909577</v>
      </c>
      <c r="CR59" s="1087"/>
      <c r="CS59" s="1094"/>
      <c r="CT59" s="1094"/>
      <c r="CU59" s="1094"/>
      <c r="CV59" s="1094"/>
      <c r="CW59" s="1094"/>
      <c r="CX59" s="1094"/>
      <c r="CY59" s="1094"/>
      <c r="CZ59" s="1094"/>
      <c r="DA59" s="1095"/>
      <c r="DB59" s="72"/>
      <c r="DC59" s="62"/>
      <c r="DD59" s="62"/>
    </row>
    <row r="60" spans="5:141" ht="24" thickBot="1" x14ac:dyDescent="0.3">
      <c r="E60" s="300"/>
      <c r="F60" s="300"/>
      <c r="G60" s="797"/>
      <c r="H60"/>
      <c r="I60"/>
      <c r="J60"/>
      <c r="K60"/>
      <c r="L60"/>
      <c r="M60"/>
      <c r="N60"/>
      <c r="O60" s="794"/>
      <c r="U60" s="97"/>
      <c r="AB60" s="97"/>
      <c r="AC60" s="97"/>
      <c r="AD60" s="97"/>
      <c r="AE60" s="97"/>
      <c r="BN60" s="69"/>
      <c r="BO60" s="11"/>
      <c r="BP60" s="76"/>
      <c r="BQ60" s="76"/>
      <c r="BR60" s="76"/>
      <c r="BS60" s="76"/>
      <c r="BT60" s="76"/>
      <c r="BU60" s="76"/>
      <c r="BV60" s="76"/>
      <c r="BW60" s="76"/>
      <c r="BX60" s="76"/>
      <c r="BY60" s="77"/>
      <c r="BZ60" s="77"/>
      <c r="CA60" s="72"/>
      <c r="CB60" s="72"/>
      <c r="CC60" s="72"/>
      <c r="CD60" s="72"/>
      <c r="CE60" s="72"/>
      <c r="CF60" s="72"/>
      <c r="CG60" s="72"/>
      <c r="CH60" s="72"/>
      <c r="CI60" s="72"/>
      <c r="CJ60" s="72"/>
      <c r="CK60" s="76"/>
      <c r="CL60" s="72"/>
      <c r="CM60" s="72"/>
      <c r="CN60" s="26"/>
      <c r="CO60" s="78"/>
      <c r="CP60" s="78"/>
      <c r="CQ60" s="78"/>
      <c r="CR60" s="78"/>
      <c r="CS60" s="75"/>
      <c r="CT60" s="75"/>
      <c r="CU60" s="75"/>
      <c r="CV60" s="75"/>
      <c r="CW60" s="75"/>
      <c r="CX60" s="75"/>
      <c r="CY60" s="75"/>
      <c r="CZ60" s="75"/>
      <c r="DA60" s="75"/>
      <c r="DB60" s="75"/>
      <c r="DC60" s="62"/>
      <c r="DD60" s="62"/>
    </row>
    <row r="61" spans="5:141" ht="20" hidden="1" x14ac:dyDescent="0.2">
      <c r="G61" s="797"/>
      <c r="H61"/>
      <c r="I61"/>
      <c r="J61"/>
      <c r="K61"/>
      <c r="L61"/>
      <c r="M61"/>
      <c r="N61"/>
      <c r="O61" s="794"/>
      <c r="BN61" s="69"/>
      <c r="EJ61" s="62"/>
      <c r="EK61" s="62"/>
    </row>
    <row r="62" spans="5:141" ht="20" hidden="1" x14ac:dyDescent="0.2">
      <c r="G62" s="797"/>
      <c r="H62"/>
      <c r="I62"/>
      <c r="J62"/>
      <c r="K62"/>
      <c r="L62"/>
      <c r="M62"/>
      <c r="N62"/>
      <c r="O62" s="794"/>
      <c r="BN62" s="69"/>
      <c r="EJ62" s="62"/>
      <c r="EK62" s="62"/>
    </row>
    <row r="63" spans="5:141" ht="23" hidden="1" x14ac:dyDescent="0.25">
      <c r="G63" s="797"/>
      <c r="H63"/>
      <c r="I63"/>
      <c r="J63"/>
      <c r="K63"/>
      <c r="L63"/>
      <c r="M63"/>
      <c r="N63"/>
      <c r="O63" s="794"/>
      <c r="BN63" s="69"/>
      <c r="BO63" s="10"/>
      <c r="BP63" s="160"/>
      <c r="BQ63" s="161"/>
      <c r="BR63" s="161"/>
      <c r="BS63" s="161"/>
      <c r="BT63" s="161"/>
      <c r="BU63" s="161"/>
      <c r="BV63" s="161"/>
      <c r="BW63" s="161"/>
      <c r="BX63" s="161"/>
      <c r="BY63" s="162"/>
      <c r="BZ63" s="162"/>
      <c r="CA63" s="163"/>
      <c r="CB63" s="163"/>
      <c r="CC63" s="163"/>
      <c r="CD63" s="163"/>
      <c r="CE63" s="163"/>
      <c r="CF63" s="163"/>
      <c r="CG63" s="163"/>
      <c r="CH63" s="163"/>
      <c r="CI63" s="26"/>
      <c r="CJ63" s="72"/>
      <c r="CK63" s="164"/>
      <c r="CL63" s="164"/>
      <c r="CM63" s="72"/>
      <c r="CN63" s="72"/>
      <c r="CO63" s="72"/>
      <c r="CP63" s="72"/>
      <c r="CQ63" s="72"/>
      <c r="CR63" s="72"/>
      <c r="CS63" s="72"/>
      <c r="CT63" s="72"/>
      <c r="CU63" s="72"/>
      <c r="CV63" s="72"/>
      <c r="CW63" s="161"/>
      <c r="CX63" s="161"/>
      <c r="CY63" s="161"/>
      <c r="CZ63" s="161"/>
      <c r="DA63" s="161"/>
      <c r="DB63" s="161"/>
      <c r="DC63" s="161"/>
      <c r="DD63" s="161"/>
      <c r="EJ63" s="62"/>
      <c r="EK63" s="62"/>
    </row>
    <row r="64" spans="5:141" ht="24" hidden="1" thickBot="1" x14ac:dyDescent="0.3">
      <c r="G64" s="797"/>
      <c r="H64"/>
      <c r="I64"/>
      <c r="J64"/>
      <c r="K64"/>
      <c r="L64"/>
      <c r="M64"/>
      <c r="N64"/>
      <c r="O64" s="794"/>
      <c r="BN64" s="69"/>
      <c r="BO64" s="10"/>
      <c r="BP64" s="160"/>
      <c r="BQ64" s="161"/>
      <c r="BR64" s="161"/>
      <c r="BS64" s="161"/>
      <c r="BT64" s="161"/>
      <c r="BU64" s="161"/>
      <c r="BV64" s="161"/>
      <c r="BW64" s="161"/>
      <c r="BX64" s="161"/>
      <c r="BY64" s="162"/>
      <c r="BZ64" s="162"/>
      <c r="CA64" s="163"/>
      <c r="CB64" s="163"/>
      <c r="CC64" s="163"/>
      <c r="CD64" s="163"/>
      <c r="CE64" s="163"/>
      <c r="CF64" s="163"/>
      <c r="CG64" s="163"/>
      <c r="CH64" s="163"/>
      <c r="CI64" s="26"/>
      <c r="CJ64" s="72"/>
      <c r="CK64" s="164"/>
      <c r="CL64" s="164"/>
      <c r="CM64" s="72"/>
      <c r="CN64" s="72"/>
      <c r="CO64" s="72"/>
      <c r="CP64" s="72"/>
      <c r="CQ64" s="72"/>
      <c r="CR64" s="72"/>
      <c r="CS64" s="72"/>
      <c r="CT64" s="72"/>
      <c r="CU64" s="72"/>
      <c r="CV64" s="72"/>
      <c r="CW64" s="161"/>
      <c r="CX64" s="161"/>
      <c r="CY64" s="161"/>
      <c r="CZ64" s="161"/>
      <c r="DA64" s="161"/>
      <c r="DB64" s="161"/>
      <c r="DC64" s="161"/>
      <c r="DD64" s="161"/>
      <c r="EJ64" s="62"/>
      <c r="EK64" s="62"/>
    </row>
    <row r="65" spans="7:141" ht="24" hidden="1" thickBot="1" x14ac:dyDescent="0.3">
      <c r="G65" s="797"/>
      <c r="H65"/>
      <c r="I65"/>
      <c r="J65"/>
      <c r="K65"/>
      <c r="L65"/>
      <c r="M65"/>
      <c r="N65"/>
      <c r="O65" s="794"/>
      <c r="BN65" s="69"/>
      <c r="BO65" s="10"/>
      <c r="BP65" s="160"/>
      <c r="BQ65" s="161"/>
      <c r="BR65" s="161"/>
      <c r="BS65" s="161"/>
      <c r="BT65" s="161"/>
      <c r="BU65" s="161"/>
      <c r="BV65" s="161"/>
      <c r="BW65" s="161"/>
      <c r="BX65" s="161"/>
      <c r="BY65" s="162"/>
      <c r="BZ65" s="162"/>
      <c r="CA65" s="165">
        <v>16</v>
      </c>
      <c r="CB65" s="163"/>
      <c r="CC65" s="163"/>
      <c r="CD65" s="163"/>
      <c r="CE65" s="163"/>
      <c r="CF65" s="163"/>
      <c r="CG65" s="163"/>
      <c r="CH65" s="163"/>
      <c r="CI65" s="26"/>
      <c r="CJ65" s="72"/>
      <c r="CK65" s="164"/>
      <c r="CL65" s="164"/>
      <c r="CM65" s="72"/>
      <c r="CN65" s="72"/>
      <c r="CO65" s="72"/>
      <c r="CP65" s="100" t="b">
        <f>IF(CQ83=27,15)</f>
        <v>0</v>
      </c>
      <c r="CQ65" s="166"/>
      <c r="CR65" s="86" t="b">
        <f>IF(CQ83=27,17)</f>
        <v>0</v>
      </c>
      <c r="CS65" s="72"/>
      <c r="CT65" s="72"/>
      <c r="CU65" s="72"/>
      <c r="CV65" s="72"/>
      <c r="CW65" s="161"/>
      <c r="CX65" s="161"/>
      <c r="CY65" s="161"/>
      <c r="CZ65" s="161"/>
      <c r="DA65" s="161"/>
      <c r="DB65" s="161"/>
      <c r="DC65" s="161"/>
      <c r="DD65" s="161"/>
      <c r="EJ65" s="62"/>
      <c r="EK65" s="62"/>
    </row>
    <row r="66" spans="7:141" ht="24" hidden="1" thickBot="1" x14ac:dyDescent="0.3">
      <c r="G66" s="797"/>
      <c r="H66"/>
      <c r="I66"/>
      <c r="J66"/>
      <c r="K66"/>
      <c r="L66"/>
      <c r="M66"/>
      <c r="N66"/>
      <c r="O66" s="794"/>
      <c r="BN66" s="69"/>
      <c r="BO66" s="10"/>
      <c r="BP66" s="160"/>
      <c r="BQ66" s="161"/>
      <c r="BR66" s="161"/>
      <c r="BS66" s="161"/>
      <c r="BT66" s="161"/>
      <c r="BU66" s="161"/>
      <c r="BV66" s="161"/>
      <c r="BW66" s="161"/>
      <c r="BX66" s="161"/>
      <c r="BY66" s="162"/>
      <c r="BZ66" s="162"/>
      <c r="CA66" s="165">
        <v>15</v>
      </c>
      <c r="CB66" s="163"/>
      <c r="CC66" s="163"/>
      <c r="CD66" s="163"/>
      <c r="CE66" s="163"/>
      <c r="CF66" s="163"/>
      <c r="CG66" s="163"/>
      <c r="CH66" s="163"/>
      <c r="CI66" s="26"/>
      <c r="CJ66" s="72"/>
      <c r="CK66" s="164"/>
      <c r="CL66" s="164"/>
      <c r="CM66" s="72"/>
      <c r="CN66" s="100" t="b">
        <f>IF(CP83=26,13)</f>
        <v>0</v>
      </c>
      <c r="CO66" s="166"/>
      <c r="CP66" s="166"/>
      <c r="CQ66" s="166"/>
      <c r="CR66" s="86" t="b">
        <f>IF(CP83=26,17)</f>
        <v>0</v>
      </c>
      <c r="CS66" s="72"/>
      <c r="CT66" s="72"/>
      <c r="CU66" s="72"/>
      <c r="CV66" s="72"/>
      <c r="CW66" s="161"/>
      <c r="CX66" s="161"/>
      <c r="CY66" s="161"/>
      <c r="CZ66" s="161"/>
      <c r="DA66" s="161"/>
      <c r="DB66" s="161"/>
      <c r="DC66" s="161"/>
      <c r="DD66" s="161"/>
      <c r="EJ66" s="62"/>
      <c r="EK66" s="62"/>
    </row>
    <row r="67" spans="7:141" ht="24" hidden="1" thickBot="1" x14ac:dyDescent="0.3">
      <c r="G67" s="797"/>
      <c r="H67"/>
      <c r="I67"/>
      <c r="J67"/>
      <c r="K67"/>
      <c r="L67"/>
      <c r="M67"/>
      <c r="N67"/>
      <c r="O67" s="794"/>
      <c r="BN67" s="69"/>
      <c r="BO67" s="10"/>
      <c r="BP67" s="160"/>
      <c r="BQ67" s="161"/>
      <c r="BR67" s="161"/>
      <c r="BS67" s="161"/>
      <c r="BT67" s="161"/>
      <c r="BU67" s="161"/>
      <c r="BV67" s="161"/>
      <c r="BW67" s="161"/>
      <c r="BX67" s="161"/>
      <c r="BY67" s="162"/>
      <c r="BZ67" s="162"/>
      <c r="CA67" s="165">
        <v>14</v>
      </c>
      <c r="CB67" s="163"/>
      <c r="CC67" s="163"/>
      <c r="CD67" s="163"/>
      <c r="CE67" s="163"/>
      <c r="CF67" s="163"/>
      <c r="CG67" s="163"/>
      <c r="CH67" s="163"/>
      <c r="CI67" s="26"/>
      <c r="CJ67" s="72"/>
      <c r="CK67" s="164"/>
      <c r="CL67" s="100" t="b">
        <f>IF(CO83=25,11)</f>
        <v>0</v>
      </c>
      <c r="CM67" s="166"/>
      <c r="CN67" s="167"/>
      <c r="CO67" s="167"/>
      <c r="CP67" s="167"/>
      <c r="CQ67" s="167"/>
      <c r="CR67" s="107" t="b">
        <f>IF(CO83=25,17)</f>
        <v>0</v>
      </c>
      <c r="CS67" s="72"/>
      <c r="CT67" s="72"/>
      <c r="CU67" s="72"/>
      <c r="CV67" s="72"/>
      <c r="CW67" s="161"/>
      <c r="CX67" s="161"/>
      <c r="CY67" s="161"/>
      <c r="CZ67" s="161"/>
      <c r="DA67" s="161"/>
      <c r="DB67" s="161"/>
      <c r="DC67" s="161"/>
      <c r="DD67" s="161"/>
      <c r="EJ67" s="62"/>
      <c r="EK67" s="62"/>
    </row>
    <row r="68" spans="7:141" ht="21" hidden="1" thickBot="1" x14ac:dyDescent="0.25">
      <c r="G68" s="797"/>
      <c r="H68"/>
      <c r="I68"/>
      <c r="J68"/>
      <c r="K68"/>
      <c r="L68"/>
      <c r="M68"/>
      <c r="N68"/>
      <c r="O68" s="794"/>
      <c r="BN68" s="69"/>
      <c r="BO68" s="863"/>
      <c r="BP68" s="160"/>
      <c r="BQ68" s="161"/>
      <c r="BR68" s="161"/>
      <c r="BS68" s="161"/>
      <c r="BT68" s="161"/>
      <c r="BU68" s="161"/>
      <c r="BV68" s="161"/>
      <c r="BW68" s="161"/>
      <c r="BX68" s="161"/>
      <c r="CA68" s="165">
        <v>13</v>
      </c>
      <c r="CB68" s="161"/>
      <c r="CC68" s="160"/>
      <c r="CD68" s="160"/>
      <c r="CE68" s="160"/>
      <c r="CF68" s="160"/>
      <c r="CG68" s="160"/>
      <c r="CH68" s="160"/>
      <c r="CI68" s="160"/>
      <c r="CJ68" s="100" t="b">
        <f>IF(CN83=24,9)</f>
        <v>0</v>
      </c>
      <c r="CK68" s="168"/>
      <c r="CL68" s="169"/>
      <c r="CM68" s="105"/>
      <c r="CN68" s="169"/>
      <c r="CO68" s="105"/>
      <c r="CP68" s="105"/>
      <c r="CQ68" s="104"/>
      <c r="CR68" s="107" t="b">
        <f>IF(CN83=24,17)</f>
        <v>0</v>
      </c>
      <c r="CS68" s="62"/>
      <c r="CT68" s="62"/>
      <c r="CU68" s="62"/>
      <c r="CV68" s="62"/>
      <c r="CW68" s="62"/>
      <c r="CX68" s="62"/>
      <c r="CY68" s="62"/>
      <c r="CZ68" s="62"/>
      <c r="DA68" s="62"/>
      <c r="DB68" s="62"/>
      <c r="DC68" s="62"/>
      <c r="DD68" s="62"/>
      <c r="EJ68" s="62"/>
      <c r="EK68" s="62"/>
    </row>
    <row r="69" spans="7:141" ht="21" hidden="1" thickBot="1" x14ac:dyDescent="0.25">
      <c r="G69" s="797"/>
      <c r="H69"/>
      <c r="I69"/>
      <c r="J69"/>
      <c r="K69"/>
      <c r="L69"/>
      <c r="M69"/>
      <c r="N69"/>
      <c r="O69" s="794"/>
      <c r="BN69" s="69"/>
      <c r="BO69" s="863"/>
      <c r="BP69" s="160"/>
      <c r="BQ69" s="160"/>
      <c r="BR69" s="161"/>
      <c r="BS69" s="160"/>
      <c r="BT69" s="160"/>
      <c r="BU69" s="160"/>
      <c r="CA69" s="165">
        <v>12</v>
      </c>
      <c r="CB69" s="161"/>
      <c r="CC69" s="160"/>
      <c r="CD69" s="160"/>
      <c r="CE69" s="160"/>
      <c r="CF69" s="160"/>
      <c r="CG69" s="160"/>
      <c r="CH69" s="100" t="b">
        <f>IF(CM83=23,7)</f>
        <v>0</v>
      </c>
      <c r="CI69" s="168"/>
      <c r="CJ69" s="168"/>
      <c r="CK69" s="101"/>
      <c r="CL69" s="168"/>
      <c r="CM69" s="168"/>
      <c r="CN69" s="168"/>
      <c r="CO69" s="101"/>
      <c r="CP69" s="101"/>
      <c r="CQ69" s="94"/>
      <c r="CR69" s="86" t="b">
        <f>IF(CM83=23,17)</f>
        <v>0</v>
      </c>
      <c r="CS69" s="62"/>
      <c r="CT69" s="62"/>
      <c r="CU69" s="62"/>
      <c r="CV69" s="62"/>
      <c r="CW69" s="62"/>
      <c r="CX69" s="62"/>
      <c r="CY69" s="62"/>
      <c r="CZ69" s="62"/>
      <c r="DA69" s="62"/>
      <c r="DB69" s="62"/>
      <c r="DC69" s="62"/>
      <c r="DD69" s="62"/>
      <c r="EJ69" s="62"/>
      <c r="EK69" s="62"/>
    </row>
    <row r="70" spans="7:141" ht="21" hidden="1" thickBot="1" x14ac:dyDescent="0.25">
      <c r="G70" s="797"/>
      <c r="H70"/>
      <c r="I70"/>
      <c r="J70"/>
      <c r="K70"/>
      <c r="L70"/>
      <c r="M70"/>
      <c r="N70"/>
      <c r="O70" s="794"/>
      <c r="BN70" s="69"/>
      <c r="BO70" s="863"/>
      <c r="BP70" s="160"/>
      <c r="BQ70" s="160"/>
      <c r="BR70" s="161"/>
      <c r="BS70" s="160"/>
      <c r="BT70" s="160"/>
      <c r="BU70" s="160"/>
      <c r="CA70" s="165">
        <v>11</v>
      </c>
      <c r="CB70" s="161"/>
      <c r="CC70" s="160"/>
      <c r="CD70" s="160"/>
      <c r="CE70" s="160"/>
      <c r="CF70" s="100" t="b">
        <f>IF(CL83=22,5)</f>
        <v>0</v>
      </c>
      <c r="CG70" s="168"/>
      <c r="CH70" s="168"/>
      <c r="CI70" s="101"/>
      <c r="CJ70" s="168"/>
      <c r="CK70" s="101"/>
      <c r="CL70" s="168"/>
      <c r="CM70" s="101"/>
      <c r="CN70" s="168"/>
      <c r="CO70" s="101"/>
      <c r="CP70" s="101"/>
      <c r="CQ70" s="94"/>
      <c r="CR70" s="86" t="b">
        <f>IF(CL83=22,17)</f>
        <v>0</v>
      </c>
      <c r="CS70" s="62"/>
      <c r="CT70" s="62"/>
      <c r="CU70" s="62"/>
      <c r="CV70" s="62"/>
      <c r="CW70" s="62"/>
      <c r="CX70" s="62"/>
      <c r="CY70" s="62"/>
      <c r="CZ70" s="62"/>
      <c r="DA70" s="62"/>
      <c r="DB70" s="62"/>
      <c r="DC70" s="62"/>
      <c r="DD70" s="62"/>
      <c r="EJ70" s="62"/>
      <c r="EK70" s="62"/>
    </row>
    <row r="71" spans="7:141" ht="21" hidden="1" thickBot="1" x14ac:dyDescent="0.25">
      <c r="G71" s="797"/>
      <c r="H71"/>
      <c r="I71"/>
      <c r="J71"/>
      <c r="K71"/>
      <c r="L71"/>
      <c r="M71"/>
      <c r="N71"/>
      <c r="O71" s="794"/>
      <c r="BN71" s="69"/>
      <c r="BO71" s="863"/>
      <c r="BP71" s="160"/>
      <c r="BQ71" s="160"/>
      <c r="BR71" s="161"/>
      <c r="BS71" s="160"/>
      <c r="BT71" s="160"/>
      <c r="BU71" s="160"/>
      <c r="CA71" s="165">
        <v>10</v>
      </c>
      <c r="CB71" s="161"/>
      <c r="CC71" s="160"/>
      <c r="CD71" s="100" t="b">
        <f>IF(CK83=21,3)</f>
        <v>0</v>
      </c>
      <c r="CE71" s="168"/>
      <c r="CF71" s="168"/>
      <c r="CG71" s="101"/>
      <c r="CH71" s="101"/>
      <c r="CI71" s="101"/>
      <c r="CJ71" s="168"/>
      <c r="CK71" s="168"/>
      <c r="CL71" s="168"/>
      <c r="CM71" s="101"/>
      <c r="CN71" s="168"/>
      <c r="CO71" s="101"/>
      <c r="CP71" s="101"/>
      <c r="CQ71" s="94"/>
      <c r="CR71" s="86" t="b">
        <f>IF(CK83=21,17)</f>
        <v>0</v>
      </c>
      <c r="CS71" s="62"/>
      <c r="CT71" s="62"/>
      <c r="CU71" s="62"/>
      <c r="CV71" s="62"/>
      <c r="CW71" s="62"/>
      <c r="CX71" s="62"/>
      <c r="CY71" s="62"/>
      <c r="CZ71" s="62"/>
      <c r="DA71" s="62"/>
      <c r="DB71" s="62"/>
      <c r="DC71" s="62"/>
      <c r="DD71" s="62"/>
      <c r="EJ71" s="62"/>
      <c r="EK71" s="62"/>
    </row>
    <row r="72" spans="7:141" ht="21" hidden="1" thickBot="1" x14ac:dyDescent="0.25">
      <c r="G72" s="797"/>
      <c r="H72"/>
      <c r="I72"/>
      <c r="J72"/>
      <c r="K72"/>
      <c r="L72"/>
      <c r="M72"/>
      <c r="N72"/>
      <c r="O72" s="794"/>
      <c r="BN72" s="69"/>
      <c r="BO72" s="863"/>
      <c r="BP72" s="160"/>
      <c r="BQ72" s="160"/>
      <c r="BR72" s="161"/>
      <c r="BS72" s="160"/>
      <c r="BT72" s="160"/>
      <c r="BU72" s="160"/>
      <c r="CA72" s="165">
        <v>9</v>
      </c>
      <c r="CB72" s="100" t="b">
        <f>IF(CJ83=20,1)</f>
        <v>0</v>
      </c>
      <c r="CC72" s="168"/>
      <c r="CD72" s="168"/>
      <c r="CE72" s="101"/>
      <c r="CF72" s="168"/>
      <c r="CG72" s="168"/>
      <c r="CH72" s="168"/>
      <c r="CI72" s="168"/>
      <c r="CJ72" s="168"/>
      <c r="CK72" s="168"/>
      <c r="CL72" s="168"/>
      <c r="CM72" s="168"/>
      <c r="CN72" s="168"/>
      <c r="CO72" s="101"/>
      <c r="CP72" s="101"/>
      <c r="CQ72" s="94"/>
      <c r="CR72" s="86" t="b">
        <f>IF(CJ83=20,17)</f>
        <v>0</v>
      </c>
      <c r="CS72" s="62"/>
      <c r="CT72" s="62"/>
      <c r="CU72" s="62"/>
      <c r="CV72" s="62"/>
      <c r="CW72" s="62"/>
      <c r="CX72" s="62"/>
      <c r="CY72" s="62"/>
      <c r="CZ72" s="62"/>
      <c r="DA72" s="62"/>
      <c r="DB72" s="62"/>
      <c r="DC72" s="62"/>
      <c r="DD72" s="62"/>
      <c r="EJ72" s="62"/>
      <c r="EK72" s="62"/>
    </row>
    <row r="73" spans="7:141" ht="21" hidden="1" thickBot="1" x14ac:dyDescent="0.25">
      <c r="G73" s="797"/>
      <c r="H73"/>
      <c r="I73"/>
      <c r="J73"/>
      <c r="K73"/>
      <c r="L73"/>
      <c r="M73"/>
      <c r="N73"/>
      <c r="O73" s="794"/>
      <c r="BN73" s="69"/>
      <c r="BO73" s="863"/>
      <c r="BP73" s="160"/>
      <c r="BQ73" s="160"/>
      <c r="BR73" s="161"/>
      <c r="BS73" s="160"/>
      <c r="BT73" s="160"/>
      <c r="BU73" s="160"/>
      <c r="CA73" s="165">
        <v>8</v>
      </c>
      <c r="CB73" s="103" t="b">
        <f>IF(CI83=19,1)</f>
        <v>0</v>
      </c>
      <c r="CC73" s="105"/>
      <c r="CD73" s="169"/>
      <c r="CE73" s="169"/>
      <c r="CF73" s="169"/>
      <c r="CG73" s="169"/>
      <c r="CH73" s="169"/>
      <c r="CI73" s="169"/>
      <c r="CJ73" s="169"/>
      <c r="CK73" s="169"/>
      <c r="CL73" s="169"/>
      <c r="CM73" s="169"/>
      <c r="CN73" s="169"/>
      <c r="CO73" s="105"/>
      <c r="CP73" s="107" t="b">
        <f>IF(CI83=19,15)</f>
        <v>0</v>
      </c>
      <c r="CQ73" s="62"/>
      <c r="CR73" s="62"/>
      <c r="CS73" s="62"/>
      <c r="CT73" s="62"/>
      <c r="CU73" s="62"/>
      <c r="CV73" s="62"/>
      <c r="CW73" s="62"/>
      <c r="CX73" s="62"/>
      <c r="CY73" s="62"/>
      <c r="CZ73" s="62"/>
      <c r="DA73" s="62"/>
      <c r="DB73" s="62"/>
      <c r="DC73" s="62"/>
      <c r="DD73" s="62"/>
      <c r="EJ73" s="62"/>
      <c r="EK73" s="62"/>
    </row>
    <row r="74" spans="7:141" ht="21" hidden="1" thickBot="1" x14ac:dyDescent="0.25">
      <c r="G74" s="797"/>
      <c r="H74"/>
      <c r="I74"/>
      <c r="J74"/>
      <c r="K74"/>
      <c r="L74"/>
      <c r="M74"/>
      <c r="N74"/>
      <c r="O74" s="794"/>
      <c r="BN74" s="69"/>
      <c r="BO74" s="863"/>
      <c r="BP74" s="160"/>
      <c r="BQ74" s="160"/>
      <c r="BR74" s="161"/>
      <c r="BS74" s="160"/>
      <c r="BT74" s="160"/>
      <c r="BU74" s="160"/>
      <c r="CA74" s="165">
        <v>7</v>
      </c>
      <c r="CB74" s="103">
        <f>IF(CH83=18,1)</f>
        <v>1</v>
      </c>
      <c r="CC74" s="169"/>
      <c r="CD74" s="169"/>
      <c r="CE74" s="169"/>
      <c r="CF74" s="169"/>
      <c r="CG74" s="169"/>
      <c r="CH74" s="169"/>
      <c r="CI74" s="169"/>
      <c r="CJ74" s="169"/>
      <c r="CK74" s="169"/>
      <c r="CL74" s="169"/>
      <c r="CM74" s="169"/>
      <c r="CN74" s="107">
        <f>IF(CH83=18,13)</f>
        <v>13</v>
      </c>
      <c r="CO74" s="161"/>
      <c r="CQ74" s="62"/>
      <c r="CR74" s="62"/>
      <c r="CS74" s="62"/>
      <c r="CT74" s="62"/>
      <c r="CU74" s="62"/>
      <c r="CV74" s="62"/>
      <c r="CW74" s="62"/>
      <c r="CX74" s="62"/>
      <c r="CY74" s="62"/>
      <c r="CZ74" s="62"/>
      <c r="DA74" s="62"/>
      <c r="DB74" s="62"/>
      <c r="DC74" s="62"/>
      <c r="DD74" s="62"/>
      <c r="EJ74" s="62"/>
      <c r="EK74" s="62"/>
    </row>
    <row r="75" spans="7:141" ht="21" hidden="1" thickBot="1" x14ac:dyDescent="0.25">
      <c r="G75" s="797"/>
      <c r="H75"/>
      <c r="I75"/>
      <c r="J75"/>
      <c r="K75"/>
      <c r="L75"/>
      <c r="M75"/>
      <c r="N75"/>
      <c r="O75" s="794"/>
      <c r="BN75" s="69"/>
      <c r="BO75" s="863"/>
      <c r="BP75" s="160"/>
      <c r="BQ75" s="160"/>
      <c r="BR75" s="161"/>
      <c r="BS75" s="160"/>
      <c r="BT75" s="160"/>
      <c r="BU75" s="160"/>
      <c r="CA75" s="165">
        <v>6</v>
      </c>
      <c r="CB75" s="103" t="b">
        <f>IF(CG83=17,1)</f>
        <v>0</v>
      </c>
      <c r="CC75" s="169"/>
      <c r="CD75" s="169"/>
      <c r="CE75" s="169"/>
      <c r="CF75" s="169"/>
      <c r="CG75" s="169"/>
      <c r="CH75" s="169"/>
      <c r="CI75" s="169"/>
      <c r="CJ75" s="169"/>
      <c r="CK75" s="169"/>
      <c r="CL75" s="107" t="b">
        <f>IF(CG83=17,11)</f>
        <v>0</v>
      </c>
      <c r="CM75" s="160"/>
      <c r="CN75" s="160"/>
      <c r="CO75" s="161"/>
      <c r="CQ75" s="62"/>
      <c r="CR75" s="62"/>
      <c r="CS75" s="62"/>
      <c r="CT75" s="62"/>
      <c r="CU75" s="62"/>
      <c r="CV75" s="62"/>
      <c r="CW75" s="62"/>
      <c r="CX75" s="62"/>
      <c r="CY75" s="62"/>
      <c r="CZ75" s="62"/>
      <c r="DA75" s="62"/>
      <c r="DB75" s="62"/>
      <c r="DC75" s="62"/>
      <c r="DD75" s="62"/>
      <c r="EJ75" s="62"/>
      <c r="EK75" s="62"/>
    </row>
    <row r="76" spans="7:141" ht="21" hidden="1" thickBot="1" x14ac:dyDescent="0.25">
      <c r="G76" s="797"/>
      <c r="H76"/>
      <c r="I76"/>
      <c r="J76"/>
      <c r="K76"/>
      <c r="L76"/>
      <c r="M76"/>
      <c r="N76"/>
      <c r="O76" s="794"/>
      <c r="BN76" s="69"/>
      <c r="BO76" s="863"/>
      <c r="BP76" s="160"/>
      <c r="BQ76" s="160"/>
      <c r="BR76" s="161"/>
      <c r="BS76" s="160"/>
      <c r="BT76" s="160"/>
      <c r="BU76" s="160"/>
      <c r="CA76" s="165">
        <v>5</v>
      </c>
      <c r="CB76" s="100" t="b">
        <f>IF(CF83=16,1)</f>
        <v>0</v>
      </c>
      <c r="CC76" s="168"/>
      <c r="CD76" s="168"/>
      <c r="CE76" s="101"/>
      <c r="CF76" s="168"/>
      <c r="CG76" s="101"/>
      <c r="CH76" s="168"/>
      <c r="CI76" s="168"/>
      <c r="CJ76" s="86" t="b">
        <f>IF(CF83=16,9)</f>
        <v>0</v>
      </c>
      <c r="CK76" s="160"/>
      <c r="CL76" s="160"/>
      <c r="CM76" s="160"/>
      <c r="CN76" s="160"/>
      <c r="CO76" s="161"/>
      <c r="CQ76" s="62"/>
      <c r="CR76" s="62"/>
      <c r="CS76" s="62"/>
      <c r="CT76" s="62"/>
      <c r="CU76" s="62"/>
      <c r="CV76" s="62"/>
      <c r="CW76" s="62"/>
      <c r="CX76" s="62"/>
      <c r="CY76" s="62"/>
      <c r="CZ76" s="62"/>
      <c r="DA76" s="62"/>
      <c r="DB76" s="62"/>
      <c r="DC76" s="62"/>
      <c r="DD76" s="62"/>
      <c r="EJ76" s="62"/>
      <c r="EK76" s="62"/>
    </row>
    <row r="77" spans="7:141" ht="21" hidden="1" thickBot="1" x14ac:dyDescent="0.25">
      <c r="G77" s="797"/>
      <c r="H77"/>
      <c r="I77"/>
      <c r="J77"/>
      <c r="K77"/>
      <c r="L77"/>
      <c r="M77"/>
      <c r="N77"/>
      <c r="O77" s="794"/>
      <c r="BN77" s="69"/>
      <c r="BO77" s="863"/>
      <c r="BP77" s="160"/>
      <c r="BQ77" s="160"/>
      <c r="BR77" s="161"/>
      <c r="BS77" s="160"/>
      <c r="BT77" s="160"/>
      <c r="BU77" s="160"/>
      <c r="CA77" s="165">
        <v>4</v>
      </c>
      <c r="CB77" s="100" t="b">
        <f>IF(CE83=15,1)</f>
        <v>0</v>
      </c>
      <c r="CC77" s="101"/>
      <c r="CD77" s="101"/>
      <c r="CE77" s="168"/>
      <c r="CF77" s="101"/>
      <c r="CG77" s="101"/>
      <c r="CH77" s="86" t="b">
        <f>IF(CE83=15,7)</f>
        <v>0</v>
      </c>
      <c r="CI77" s="160"/>
      <c r="CJ77" s="160"/>
      <c r="CK77" s="160"/>
      <c r="CL77" s="160"/>
      <c r="CM77" s="160"/>
      <c r="CN77" s="160"/>
      <c r="CO77" s="161"/>
      <c r="CQ77" s="62"/>
      <c r="CR77" s="62"/>
      <c r="CS77" s="62"/>
      <c r="CT77" s="62"/>
      <c r="CU77" s="62"/>
      <c r="CV77" s="62"/>
      <c r="CW77" s="62"/>
      <c r="CX77" s="62"/>
      <c r="CY77" s="62"/>
      <c r="CZ77" s="62"/>
      <c r="DA77" s="62"/>
      <c r="DB77" s="62"/>
      <c r="DC77" s="62"/>
      <c r="DD77" s="62"/>
      <c r="EJ77" s="62"/>
      <c r="EK77" s="62"/>
    </row>
    <row r="78" spans="7:141" ht="21" hidden="1" thickBot="1" x14ac:dyDescent="0.25">
      <c r="G78" s="797"/>
      <c r="H78"/>
      <c r="I78"/>
      <c r="J78"/>
      <c r="K78"/>
      <c r="L78"/>
      <c r="M78"/>
      <c r="N78"/>
      <c r="O78" s="794"/>
      <c r="BN78" s="69"/>
      <c r="BO78" s="863"/>
      <c r="BP78" s="160"/>
      <c r="BQ78" s="160"/>
      <c r="BR78" s="161"/>
      <c r="BS78" s="160"/>
      <c r="BT78" s="160"/>
      <c r="BU78" s="160"/>
      <c r="CA78" s="165">
        <v>3</v>
      </c>
      <c r="CB78" s="103" t="b">
        <f>IF(CD83=14,1)</f>
        <v>0</v>
      </c>
      <c r="CC78" s="169"/>
      <c r="CD78" s="169"/>
      <c r="CE78" s="169"/>
      <c r="CF78" s="107" t="b">
        <f>IF(CD83=14,5)</f>
        <v>0</v>
      </c>
      <c r="CG78" s="160"/>
      <c r="CH78" s="160"/>
      <c r="CI78" s="160"/>
      <c r="CJ78" s="160"/>
      <c r="CK78" s="160"/>
      <c r="CL78" s="160"/>
      <c r="CM78" s="160"/>
      <c r="CN78" s="160"/>
      <c r="CO78" s="161"/>
      <c r="CQ78" s="62"/>
      <c r="CR78" s="62"/>
      <c r="CS78" s="62"/>
      <c r="CT78" s="62"/>
      <c r="CU78" s="62"/>
      <c r="CV78" s="62"/>
      <c r="CW78" s="62"/>
      <c r="CX78" s="62"/>
      <c r="CY78" s="62"/>
      <c r="CZ78" s="62"/>
      <c r="DA78" s="62"/>
      <c r="DB78" s="62"/>
      <c r="DC78" s="62"/>
      <c r="DD78" s="62"/>
      <c r="EJ78" s="62"/>
      <c r="EK78" s="62"/>
    </row>
    <row r="79" spans="7:141" ht="21" hidden="1" thickBot="1" x14ac:dyDescent="0.25">
      <c r="G79" s="807"/>
      <c r="H79"/>
      <c r="I79"/>
      <c r="J79"/>
      <c r="K79"/>
      <c r="L79"/>
      <c r="M79"/>
      <c r="N79"/>
      <c r="O79" s="794"/>
      <c r="BN79" s="69"/>
      <c r="BO79" s="863"/>
      <c r="BP79" s="160"/>
      <c r="BQ79" s="160"/>
      <c r="BR79" s="161"/>
      <c r="BS79" s="160"/>
      <c r="BT79" s="160"/>
      <c r="BU79" s="160"/>
      <c r="CA79" s="165">
        <v>2</v>
      </c>
      <c r="CB79" s="103" t="b">
        <f>IF(CC83=13,1)</f>
        <v>0</v>
      </c>
      <c r="CC79" s="169"/>
      <c r="CD79" s="107" t="b">
        <f>IF(CC83=13,3)</f>
        <v>0</v>
      </c>
      <c r="CE79" s="160"/>
      <c r="CF79" s="160"/>
      <c r="CG79" s="160"/>
      <c r="CH79" s="160"/>
      <c r="CI79" s="160"/>
      <c r="CJ79" s="160"/>
      <c r="CK79" s="160"/>
      <c r="CL79" s="160"/>
      <c r="CM79" s="160"/>
      <c r="CN79" s="160"/>
      <c r="CO79" s="161"/>
      <c r="CQ79" s="62"/>
      <c r="CR79" s="62"/>
      <c r="CS79" s="62"/>
      <c r="CT79" s="62"/>
      <c r="CU79" s="62"/>
      <c r="CV79" s="62"/>
      <c r="CW79" s="62"/>
      <c r="CX79" s="62"/>
      <c r="CY79" s="62"/>
      <c r="CZ79" s="62"/>
      <c r="DA79" s="62"/>
      <c r="DB79" s="62"/>
      <c r="DC79" s="62"/>
      <c r="DD79" s="62"/>
      <c r="EJ79" s="62"/>
      <c r="EK79" s="62"/>
    </row>
    <row r="80" spans="7:141" ht="21" hidden="1" thickBot="1" x14ac:dyDescent="0.25">
      <c r="G80" s="797"/>
      <c r="H80"/>
      <c r="I80"/>
      <c r="J80"/>
      <c r="K80"/>
      <c r="L80"/>
      <c r="M80"/>
      <c r="N80"/>
      <c r="O80" s="794"/>
      <c r="BN80" s="69"/>
      <c r="BO80" s="863"/>
      <c r="BP80" s="160"/>
      <c r="BQ80" s="160"/>
      <c r="BR80" s="161"/>
      <c r="BS80" s="160"/>
      <c r="BT80" s="160"/>
      <c r="BU80" s="160"/>
      <c r="BV80" s="60"/>
      <c r="BW80" s="160"/>
      <c r="CA80" s="160"/>
      <c r="CB80" s="160"/>
      <c r="CC80" s="160"/>
      <c r="CD80" s="160"/>
      <c r="CE80" s="160"/>
      <c r="CF80" s="160"/>
      <c r="CG80" s="160"/>
      <c r="CH80" s="160"/>
      <c r="CI80" s="160"/>
      <c r="CJ80" s="160"/>
      <c r="CK80" s="160"/>
      <c r="CL80" s="161"/>
      <c r="CM80" s="90"/>
      <c r="CN80" s="90"/>
      <c r="CO80" s="90"/>
      <c r="CQ80" s="62"/>
      <c r="CR80" s="62"/>
      <c r="CS80" s="62"/>
      <c r="CT80" s="62"/>
      <c r="CU80" s="62"/>
      <c r="CV80" s="62"/>
      <c r="CW80" s="62"/>
      <c r="CX80" s="62"/>
      <c r="CY80" s="62"/>
      <c r="CZ80" s="62"/>
      <c r="DA80" s="62"/>
      <c r="DB80" s="62"/>
      <c r="DC80" s="62"/>
      <c r="DD80" s="62"/>
      <c r="EJ80" s="62"/>
      <c r="EK80" s="62"/>
    </row>
    <row r="81" spans="2:108" ht="44" thickBot="1" x14ac:dyDescent="0.3">
      <c r="G81" s="797"/>
      <c r="H81"/>
      <c r="I81"/>
      <c r="J81"/>
      <c r="K81"/>
      <c r="L81"/>
      <c r="M81"/>
      <c r="N81"/>
      <c r="O81" s="794"/>
      <c r="BM81" s="305"/>
      <c r="BN81" s="171"/>
      <c r="BO81" s="866" t="s">
        <v>112</v>
      </c>
      <c r="BP81" s="589" t="s">
        <v>110</v>
      </c>
      <c r="BQ81" s="173"/>
      <c r="BR81" s="174"/>
      <c r="BS81" s="174"/>
      <c r="BT81" s="174"/>
      <c r="BU81" s="174"/>
      <c r="BV81" s="174"/>
      <c r="BW81" s="174"/>
      <c r="BX81" s="174"/>
      <c r="BY81" s="174"/>
      <c r="BZ81" s="174"/>
      <c r="CA81" s="174"/>
      <c r="CB81" s="601">
        <f>SUM(CB65:CB80)</f>
        <v>1</v>
      </c>
      <c r="CC81" s="602">
        <f t="shared" ref="CC81:CR81" si="0">SUM(CC65:CC80)</f>
        <v>0</v>
      </c>
      <c r="CD81" s="602">
        <f t="shared" si="0"/>
        <v>0</v>
      </c>
      <c r="CE81" s="602">
        <f t="shared" si="0"/>
        <v>0</v>
      </c>
      <c r="CF81" s="602">
        <f t="shared" si="0"/>
        <v>0</v>
      </c>
      <c r="CG81" s="602">
        <f t="shared" si="0"/>
        <v>0</v>
      </c>
      <c r="CH81" s="602">
        <f t="shared" si="0"/>
        <v>0</v>
      </c>
      <c r="CI81" s="602">
        <f t="shared" si="0"/>
        <v>0</v>
      </c>
      <c r="CJ81" s="602">
        <f t="shared" si="0"/>
        <v>0</v>
      </c>
      <c r="CK81" s="602">
        <f t="shared" si="0"/>
        <v>0</v>
      </c>
      <c r="CL81" s="602">
        <f t="shared" si="0"/>
        <v>0</v>
      </c>
      <c r="CM81" s="602">
        <f t="shared" si="0"/>
        <v>0</v>
      </c>
      <c r="CN81" s="602">
        <f t="shared" si="0"/>
        <v>13</v>
      </c>
      <c r="CO81" s="602">
        <f t="shared" si="0"/>
        <v>0</v>
      </c>
      <c r="CP81" s="602">
        <f t="shared" si="0"/>
        <v>0</v>
      </c>
      <c r="CQ81" s="602">
        <f t="shared" si="0"/>
        <v>0</v>
      </c>
      <c r="CR81" s="603">
        <f t="shared" si="0"/>
        <v>0</v>
      </c>
      <c r="CS81" s="174"/>
      <c r="CT81" s="174"/>
      <c r="CU81" s="175"/>
      <c r="CV81" s="175"/>
      <c r="CW81" s="175"/>
      <c r="CX81" s="175"/>
      <c r="CY81" s="175"/>
      <c r="CZ81" s="175"/>
      <c r="DA81" s="176"/>
      <c r="DB81" s="72"/>
      <c r="DC81" s="62"/>
      <c r="DD81" s="62"/>
    </row>
    <row r="82" spans="2:108" ht="31" thickBot="1" x14ac:dyDescent="0.3">
      <c r="G82" s="797"/>
      <c r="H82"/>
      <c r="I82"/>
      <c r="J82"/>
      <c r="K82"/>
      <c r="L82"/>
      <c r="M82"/>
      <c r="N82"/>
      <c r="O82" s="794"/>
      <c r="BL82" s="767">
        <v>4</v>
      </c>
      <c r="BM82" s="1055" t="b">
        <f>AND(BO82&gt;=10,$AZ$138&gt;=10,$BA$138&gt;=10,$AZ$159&gt;=10,$BA$159&gt;=10)</f>
        <v>1</v>
      </c>
      <c r="BN82" s="67" t="str">
        <f>IF(BM82=TRUE,"O K","OVERLOAD")</f>
        <v>O K</v>
      </c>
      <c r="BO82" s="781">
        <f>+$E$20/(BQ51/2)</f>
        <v>103.35917312661498</v>
      </c>
      <c r="BP82" s="177"/>
      <c r="BQ82" s="90"/>
      <c r="BR82" s="91"/>
      <c r="BS82" s="90"/>
      <c r="BT82" s="90"/>
      <c r="BU82" s="90"/>
      <c r="BV82" s="91"/>
      <c r="BW82" s="90"/>
      <c r="BX82" s="90"/>
      <c r="BY82" s="90"/>
      <c r="BZ82" s="90"/>
      <c r="CA82" s="90"/>
      <c r="CB82" s="90"/>
      <c r="CC82" s="90"/>
      <c r="CD82" s="90"/>
      <c r="CE82" s="90"/>
      <c r="CF82" s="90"/>
      <c r="CG82" s="90"/>
      <c r="CH82" s="90"/>
      <c r="CI82" s="90"/>
      <c r="CJ82" s="90"/>
      <c r="CK82" s="90"/>
      <c r="CL82" s="90"/>
      <c r="CM82" s="90"/>
      <c r="CN82" s="90"/>
      <c r="CO82" s="90"/>
      <c r="CP82" s="90"/>
      <c r="CQ82" s="90"/>
      <c r="CR82" s="90"/>
      <c r="CS82" s="62"/>
      <c r="CT82" s="62"/>
      <c r="CU82" s="62"/>
      <c r="CV82" s="62"/>
      <c r="CW82" s="62"/>
      <c r="CX82" s="62"/>
      <c r="CY82" s="62"/>
      <c r="CZ82" s="62"/>
      <c r="DA82" s="62"/>
      <c r="DB82" s="62"/>
      <c r="DC82" s="62"/>
      <c r="DD82" s="62"/>
    </row>
    <row r="83" spans="2:108" ht="21" hidden="1" thickBot="1" x14ac:dyDescent="0.25">
      <c r="G83" s="797"/>
      <c r="H83"/>
      <c r="I83"/>
      <c r="J83"/>
      <c r="K83" s="787">
        <v>5</v>
      </c>
      <c r="L83"/>
      <c r="M83" s="787">
        <v>51</v>
      </c>
      <c r="N83"/>
      <c r="O83" s="794"/>
      <c r="BM83" s="305"/>
      <c r="BN83" s="171"/>
      <c r="BO83" s="863"/>
      <c r="BP83" s="60"/>
      <c r="BQ83" s="178" t="b">
        <f>+BK189</f>
        <v>0</v>
      </c>
      <c r="BR83" s="178" t="b">
        <f>+BK190</f>
        <v>0</v>
      </c>
      <c r="BS83" s="178" t="b">
        <f>+BK191</f>
        <v>0</v>
      </c>
      <c r="BT83" s="178" t="b">
        <f>+BK192</f>
        <v>0</v>
      </c>
      <c r="BU83" s="178" t="b">
        <f>+BK193</f>
        <v>0</v>
      </c>
      <c r="BV83" s="178" t="b">
        <f>+BK194</f>
        <v>0</v>
      </c>
      <c r="BW83" s="178" t="b">
        <f>+BK195</f>
        <v>0</v>
      </c>
      <c r="BX83" s="178" t="b">
        <f>+BK196</f>
        <v>0</v>
      </c>
      <c r="BY83" s="178" t="b">
        <f>+BK197</f>
        <v>0</v>
      </c>
      <c r="BZ83" s="178" t="b">
        <f>+BK198</f>
        <v>0</v>
      </c>
      <c r="CA83" s="178" t="b">
        <f>+BK199</f>
        <v>0</v>
      </c>
      <c r="CB83" s="178" t="b">
        <f>+BK200</f>
        <v>0</v>
      </c>
      <c r="CC83" s="178" t="b">
        <f>+BK201</f>
        <v>0</v>
      </c>
      <c r="CD83" s="178" t="b">
        <f>+BK202</f>
        <v>0</v>
      </c>
      <c r="CE83" s="178" t="b">
        <f>+BK203</f>
        <v>0</v>
      </c>
      <c r="CF83" s="178" t="b">
        <f>+BK204</f>
        <v>0</v>
      </c>
      <c r="CG83" s="178" t="b">
        <f>+BK205</f>
        <v>0</v>
      </c>
      <c r="CH83" s="178">
        <f>+BK206</f>
        <v>18</v>
      </c>
      <c r="CI83" s="178" t="b">
        <f>+BK207</f>
        <v>0</v>
      </c>
      <c r="CJ83" s="178" t="b">
        <f>+BK208</f>
        <v>0</v>
      </c>
      <c r="CK83" s="178" t="b">
        <f>+BK209</f>
        <v>0</v>
      </c>
      <c r="CL83" s="178" t="b">
        <f>+BK210</f>
        <v>0</v>
      </c>
      <c r="CM83" s="178" t="b">
        <f>+BK211</f>
        <v>0</v>
      </c>
      <c r="CN83" s="178" t="b">
        <f>+BK212</f>
        <v>0</v>
      </c>
      <c r="CO83" s="178" t="b">
        <f>+BK213</f>
        <v>0</v>
      </c>
      <c r="CP83" s="178" t="b">
        <f>+BK214</f>
        <v>0</v>
      </c>
      <c r="CQ83" s="178" t="b">
        <f>+BK215</f>
        <v>0</v>
      </c>
      <c r="CR83" s="178" t="b">
        <f>+BK216</f>
        <v>0</v>
      </c>
      <c r="CS83" s="178" t="b">
        <f>+BK217</f>
        <v>0</v>
      </c>
      <c r="CT83" s="178" t="b">
        <f>+BK218</f>
        <v>0</v>
      </c>
      <c r="CU83" s="178" t="b">
        <f>+BK219</f>
        <v>0</v>
      </c>
      <c r="CV83" s="178" t="b">
        <f>+BK220</f>
        <v>0</v>
      </c>
      <c r="CW83" s="178" t="b">
        <f>+BK221</f>
        <v>0</v>
      </c>
      <c r="CX83" s="178" t="b">
        <f>+BK222</f>
        <v>0</v>
      </c>
      <c r="CY83" s="178" t="b">
        <f>+BK223</f>
        <v>0</v>
      </c>
      <c r="CZ83" s="178" t="b">
        <f>+BK224</f>
        <v>0</v>
      </c>
      <c r="DA83" s="178" t="b">
        <f>+BK225</f>
        <v>0</v>
      </c>
      <c r="DB83" s="179"/>
      <c r="DC83" s="62"/>
      <c r="DD83" s="62"/>
    </row>
    <row r="84" spans="2:108" ht="64" hidden="1" thickBot="1" x14ac:dyDescent="0.25">
      <c r="G84" s="797"/>
      <c r="H84"/>
      <c r="I84"/>
      <c r="J84"/>
      <c r="K84" s="768" t="s">
        <v>181</v>
      </c>
      <c r="L84" s="768" t="s">
        <v>183</v>
      </c>
      <c r="M84" s="768" t="s">
        <v>182</v>
      </c>
      <c r="N84"/>
      <c r="O84" s="794"/>
      <c r="BM84" s="305"/>
      <c r="BN84" s="171"/>
      <c r="BO84" s="863"/>
      <c r="BP84" s="62"/>
      <c r="BQ84" s="179" t="b">
        <f>+BQ83</f>
        <v>0</v>
      </c>
      <c r="BR84" s="179" t="b">
        <f t="shared" ref="BR84:CI84" si="1">+BR83</f>
        <v>0</v>
      </c>
      <c r="BS84" s="179" t="b">
        <f t="shared" si="1"/>
        <v>0</v>
      </c>
      <c r="BT84" s="179" t="b">
        <f t="shared" si="1"/>
        <v>0</v>
      </c>
      <c r="BU84" s="179" t="b">
        <f t="shared" si="1"/>
        <v>0</v>
      </c>
      <c r="BV84" s="179" t="b">
        <f t="shared" si="1"/>
        <v>0</v>
      </c>
      <c r="BW84" s="179" t="b">
        <f>+BW83</f>
        <v>0</v>
      </c>
      <c r="BX84" s="179" t="b">
        <f t="shared" si="1"/>
        <v>0</v>
      </c>
      <c r="BY84" s="179" t="b">
        <f t="shared" si="1"/>
        <v>0</v>
      </c>
      <c r="BZ84" s="179" t="b">
        <f t="shared" si="1"/>
        <v>0</v>
      </c>
      <c r="CA84" s="179" t="b">
        <f t="shared" si="1"/>
        <v>0</v>
      </c>
      <c r="CB84" s="179" t="b">
        <f>+CB83</f>
        <v>0</v>
      </c>
      <c r="CC84" s="179" t="b">
        <f>+CC83</f>
        <v>0</v>
      </c>
      <c r="CD84" s="179" t="b">
        <f>+CD83</f>
        <v>0</v>
      </c>
      <c r="CE84" s="179" t="b">
        <f>+CE83</f>
        <v>0</v>
      </c>
      <c r="CF84" s="179" t="b">
        <f>+CF83</f>
        <v>0</v>
      </c>
      <c r="CG84" s="179" t="b">
        <f t="shared" si="1"/>
        <v>0</v>
      </c>
      <c r="CH84" s="179">
        <f t="shared" si="1"/>
        <v>18</v>
      </c>
      <c r="CI84" s="179" t="b">
        <f t="shared" si="1"/>
        <v>0</v>
      </c>
      <c r="CJ84" s="179" t="b">
        <f>+CJ83</f>
        <v>0</v>
      </c>
      <c r="CK84" s="179" t="b">
        <f>+CK83</f>
        <v>0</v>
      </c>
      <c r="CL84" s="179" t="b">
        <f t="shared" ref="CL84:DA84" si="2">+CL83</f>
        <v>0</v>
      </c>
      <c r="CM84" s="179" t="b">
        <f t="shared" si="2"/>
        <v>0</v>
      </c>
      <c r="CN84" s="179" t="b">
        <f t="shared" si="2"/>
        <v>0</v>
      </c>
      <c r="CO84" s="179" t="b">
        <f t="shared" si="2"/>
        <v>0</v>
      </c>
      <c r="CP84" s="179" t="b">
        <f t="shared" si="2"/>
        <v>0</v>
      </c>
      <c r="CQ84" s="179" t="b">
        <f t="shared" si="2"/>
        <v>0</v>
      </c>
      <c r="CR84" s="179" t="b">
        <f t="shared" si="2"/>
        <v>0</v>
      </c>
      <c r="CS84" s="179" t="b">
        <f t="shared" si="2"/>
        <v>0</v>
      </c>
      <c r="CT84" s="179" t="b">
        <f t="shared" si="2"/>
        <v>0</v>
      </c>
      <c r="CU84" s="179" t="b">
        <f t="shared" si="2"/>
        <v>0</v>
      </c>
      <c r="CV84" s="179" t="b">
        <f t="shared" si="2"/>
        <v>0</v>
      </c>
      <c r="CW84" s="179" t="b">
        <f t="shared" si="2"/>
        <v>0</v>
      </c>
      <c r="CX84" s="179" t="b">
        <f t="shared" si="2"/>
        <v>0</v>
      </c>
      <c r="CY84" s="179" t="b">
        <f t="shared" si="2"/>
        <v>0</v>
      </c>
      <c r="CZ84" s="179" t="b">
        <f t="shared" si="2"/>
        <v>0</v>
      </c>
      <c r="DA84" s="179" t="b">
        <f t="shared" si="2"/>
        <v>0</v>
      </c>
      <c r="DB84" s="179"/>
      <c r="DC84" s="62"/>
      <c r="DD84" s="62"/>
    </row>
    <row r="85" spans="2:108" ht="16.5" customHeight="1" thickBot="1" x14ac:dyDescent="0.3">
      <c r="G85" s="797"/>
      <c r="H85"/>
      <c r="I85"/>
      <c r="J85" s="861" t="s">
        <v>209</v>
      </c>
      <c r="K85" s="854">
        <f>+MIN(J19:K20)</f>
        <v>51.679586563307488</v>
      </c>
      <c r="L85" s="855">
        <f>+$E$20/(BQ51)</f>
        <v>51.679586563307488</v>
      </c>
      <c r="M85" s="855">
        <f>+MIN(K25:L26)</f>
        <v>51.679586563307488</v>
      </c>
      <c r="N85"/>
      <c r="O85" s="794"/>
      <c r="BM85" s="305"/>
      <c r="BN85" s="171"/>
      <c r="BO85" s="863"/>
      <c r="BP85" s="62"/>
      <c r="BQ85" s="179"/>
      <c r="BR85" s="179"/>
      <c r="BS85" s="179"/>
      <c r="BT85" s="179"/>
      <c r="BU85" s="179"/>
      <c r="BV85" s="179"/>
      <c r="BW85" s="179"/>
      <c r="BX85" s="179"/>
      <c r="BY85" s="179"/>
      <c r="BZ85" s="179"/>
      <c r="CA85" s="179"/>
      <c r="CB85" s="179"/>
      <c r="CC85" s="179"/>
      <c r="CD85" s="179"/>
      <c r="CE85" s="179"/>
      <c r="CF85" s="179"/>
      <c r="CG85" s="179"/>
      <c r="CH85" s="179"/>
      <c r="CI85" s="179"/>
      <c r="CJ85" s="179"/>
      <c r="CK85" s="179"/>
      <c r="CL85" s="179"/>
      <c r="CM85" s="179"/>
      <c r="CN85" s="179"/>
      <c r="CO85" s="179"/>
      <c r="CP85" s="179"/>
      <c r="CQ85" s="179"/>
      <c r="CR85" s="179"/>
      <c r="CS85" s="179"/>
      <c r="CT85" s="179"/>
      <c r="CU85" s="179"/>
      <c r="CV85" s="179"/>
      <c r="CW85" s="179"/>
      <c r="CX85" s="179"/>
      <c r="CY85" s="179"/>
      <c r="CZ85" s="179"/>
      <c r="DA85" s="179"/>
      <c r="DB85" s="179"/>
      <c r="DC85" s="62"/>
      <c r="DD85" s="62"/>
    </row>
    <row r="86" spans="2:108" ht="24" thickBot="1" x14ac:dyDescent="0.3">
      <c r="G86" s="797"/>
      <c r="H86"/>
      <c r="I86" s="783">
        <v>6</v>
      </c>
      <c r="J86" s="783">
        <v>61</v>
      </c>
      <c r="K86" s="783">
        <v>62</v>
      </c>
      <c r="L86" s="783">
        <v>63</v>
      </c>
      <c r="M86" s="787">
        <v>64</v>
      </c>
      <c r="N86"/>
      <c r="O86" s="794"/>
      <c r="BM86" s="305"/>
      <c r="BN86" s="171"/>
      <c r="BO86" s="866" t="s">
        <v>112</v>
      </c>
      <c r="BP86" s="180" t="s">
        <v>113</v>
      </c>
      <c r="BQ86" s="591" t="str">
        <f>IF(BQ84=1,17,"")</f>
        <v/>
      </c>
      <c r="BR86" s="592" t="str">
        <f>IF(BR84=2,16,"")</f>
        <v/>
      </c>
      <c r="BS86" s="592" t="str">
        <f>IF(BS84=3,15,"")</f>
        <v/>
      </c>
      <c r="BT86" s="592" t="str">
        <f>IF(BT84=4,14,"")</f>
        <v/>
      </c>
      <c r="BU86" s="592" t="str">
        <f>IF(BU84=5,13,"")</f>
        <v/>
      </c>
      <c r="BV86" s="592" t="str">
        <f>IF(BV84=6,12,"")</f>
        <v/>
      </c>
      <c r="BW86" s="592" t="str">
        <f>IF(BW84=7,11,"")</f>
        <v/>
      </c>
      <c r="BX86" s="592" t="str">
        <f>IF(BX84=8,10,"")</f>
        <v/>
      </c>
      <c r="BY86" s="592" t="str">
        <f>IF(BY84=9,9,"")</f>
        <v/>
      </c>
      <c r="BZ86" s="592" t="str">
        <f>IF(BZ84=10,8,"")</f>
        <v/>
      </c>
      <c r="CA86" s="592" t="str">
        <f>IF(CA84=11,7,"")</f>
        <v/>
      </c>
      <c r="CB86" s="733" t="str">
        <f>IF(CB84=12,1,"")</f>
        <v/>
      </c>
      <c r="CC86" s="590" t="str">
        <f>IF(CC84=13,2,"")</f>
        <v/>
      </c>
      <c r="CD86" s="590" t="str">
        <f>IF(CD84=14,3,"")</f>
        <v/>
      </c>
      <c r="CE86" s="590" t="str">
        <f>IF(CE84=15,4,"")</f>
        <v/>
      </c>
      <c r="CF86" s="590" t="str">
        <f>IF(CF84=16,5,"")</f>
        <v/>
      </c>
      <c r="CG86" s="590" t="str">
        <f>IF(CG84=17,6,"")</f>
        <v/>
      </c>
      <c r="CH86" s="590">
        <f>IF(CH84=18,7,"")</f>
        <v>7</v>
      </c>
      <c r="CI86" s="590" t="str">
        <f>IF(CI84=19,8,"")</f>
        <v/>
      </c>
      <c r="CJ86" s="590" t="str">
        <f>IF(CJ84=20,9,"")</f>
        <v/>
      </c>
      <c r="CK86" s="590" t="str">
        <f>IF(CK84=21,10,"")</f>
        <v/>
      </c>
      <c r="CL86" s="590" t="str">
        <f>IF(CL84=22,11,"")</f>
        <v/>
      </c>
      <c r="CM86" s="590" t="str">
        <f>IF(CM84=23,12,"")</f>
        <v/>
      </c>
      <c r="CN86" s="590" t="str">
        <f>IF(CN84=24,13,"")</f>
        <v/>
      </c>
      <c r="CO86" s="590" t="str">
        <f>IF(CO84=25,14,"")</f>
        <v/>
      </c>
      <c r="CP86" s="590" t="str">
        <f>IF(CP84=26,15,"")</f>
        <v/>
      </c>
      <c r="CQ86" s="590" t="str">
        <f>IF(CQ84=27,16,"")</f>
        <v/>
      </c>
      <c r="CR86" s="734" t="str">
        <f>IF(CR84=28,17,"")</f>
        <v/>
      </c>
      <c r="CS86" s="599" t="str">
        <f>IF(CS84=29,9,"")</f>
        <v/>
      </c>
      <c r="CT86" s="599" t="str">
        <f>IF(CT84=30,10,"")</f>
        <v/>
      </c>
      <c r="CU86" s="599" t="str">
        <f>IF(CU84=31,11,"")</f>
        <v/>
      </c>
      <c r="CV86" s="599" t="str">
        <f>IF(CV84=32,12,"")</f>
        <v/>
      </c>
      <c r="CW86" s="599" t="str">
        <f>IF(CW84=33,13,"")</f>
        <v/>
      </c>
      <c r="CX86" s="599" t="str">
        <f>IF(CX84=34,14,"")</f>
        <v/>
      </c>
      <c r="CY86" s="599" t="str">
        <f>IF(CY84=35,15,"")</f>
        <v/>
      </c>
      <c r="CZ86" s="599" t="str">
        <f>IF(CZ84=36,16,"")</f>
        <v/>
      </c>
      <c r="DA86" s="600" t="str">
        <f>IF(DA84=37,17,"")</f>
        <v/>
      </c>
      <c r="DB86" s="181"/>
      <c r="DC86" s="62"/>
      <c r="DD86" s="62"/>
    </row>
    <row r="87" spans="2:108" ht="31" thickBot="1" x14ac:dyDescent="0.3">
      <c r="G87" s="797"/>
      <c r="H87"/>
      <c r="I87"/>
      <c r="J87"/>
      <c r="K87"/>
      <c r="L87"/>
      <c r="M87"/>
      <c r="N87"/>
      <c r="O87" s="794"/>
      <c r="BL87" s="767">
        <v>5</v>
      </c>
      <c r="BM87" s="1055" t="b">
        <f>AND(BO87&gt;=10,$AZ$138&gt;=10,$BA$138&gt;=10,$AZ$159&gt;=10,$BA$159&gt;=10)</f>
        <v>1</v>
      </c>
      <c r="BN87" s="67" t="str">
        <f>IF(BM87=TRUE,"O K","OVERLOAD")</f>
        <v>O K</v>
      </c>
      <c r="BO87" s="781">
        <f>IF(SUM(BQ86:CA86)&gt;0,K85,0)+IF(SUM(CB86:CR86)&gt;0,L85,0)+IF(SUM(CS86:DA86)&gt;0,M85,0)</f>
        <v>51.679586563307488</v>
      </c>
      <c r="BP87" s="631" t="s">
        <v>139</v>
      </c>
      <c r="BQ87" s="632">
        <v>-10</v>
      </c>
      <c r="BR87" s="632">
        <v>-9</v>
      </c>
      <c r="BS87" s="632">
        <v>-8</v>
      </c>
      <c r="BT87" s="632">
        <v>-7</v>
      </c>
      <c r="BU87" s="632">
        <v>-6</v>
      </c>
      <c r="BV87" s="632">
        <v>-5</v>
      </c>
      <c r="BW87" s="632">
        <v>-4</v>
      </c>
      <c r="BX87" s="632">
        <v>-3</v>
      </c>
      <c r="BY87" s="632">
        <v>-2</v>
      </c>
      <c r="BZ87" s="632">
        <v>-1</v>
      </c>
      <c r="CA87" s="632">
        <v>0</v>
      </c>
      <c r="CB87" s="632">
        <v>1</v>
      </c>
      <c r="CC87" s="632">
        <v>2</v>
      </c>
      <c r="CD87" s="632">
        <v>3</v>
      </c>
      <c r="CE87" s="632">
        <v>4</v>
      </c>
      <c r="CF87" s="632">
        <v>5</v>
      </c>
      <c r="CG87" s="632">
        <v>6</v>
      </c>
      <c r="CH87" s="632">
        <v>7</v>
      </c>
      <c r="CI87" s="632">
        <v>8</v>
      </c>
      <c r="CJ87" s="632">
        <v>9</v>
      </c>
      <c r="CK87" s="632">
        <v>10</v>
      </c>
      <c r="CL87" s="632">
        <v>11</v>
      </c>
      <c r="CM87" s="632">
        <v>12</v>
      </c>
      <c r="CN87" s="632">
        <v>13</v>
      </c>
      <c r="CO87" s="632">
        <v>14</v>
      </c>
      <c r="CP87" s="632">
        <v>15</v>
      </c>
      <c r="CQ87" s="632">
        <v>16</v>
      </c>
      <c r="CR87" s="632">
        <v>17</v>
      </c>
      <c r="CS87" s="632">
        <v>18</v>
      </c>
      <c r="CT87" s="632">
        <v>19</v>
      </c>
      <c r="CU87" s="632">
        <v>20</v>
      </c>
      <c r="CV87" s="632">
        <v>21</v>
      </c>
      <c r="CW87" s="632">
        <v>22</v>
      </c>
      <c r="CX87" s="632">
        <v>23</v>
      </c>
      <c r="CY87" s="632">
        <v>24</v>
      </c>
      <c r="CZ87" s="632">
        <v>25</v>
      </c>
      <c r="DA87" s="634">
        <v>26</v>
      </c>
      <c r="DB87" s="181"/>
      <c r="DC87" s="62"/>
      <c r="DD87" s="62"/>
    </row>
    <row r="88" spans="2:108" ht="20" hidden="1" x14ac:dyDescent="0.2">
      <c r="B88" s="309"/>
      <c r="C88" s="309"/>
      <c r="D88" s="310"/>
      <c r="E88" s="310"/>
      <c r="F88" s="310"/>
      <c r="G88" s="797"/>
      <c r="H88"/>
      <c r="I88"/>
      <c r="J88"/>
      <c r="K88"/>
      <c r="L88"/>
      <c r="M88"/>
      <c r="N88"/>
      <c r="O88" s="794"/>
      <c r="BE88" s="119"/>
      <c r="BF88" s="119"/>
      <c r="BG88" s="119"/>
      <c r="BH88" s="119"/>
      <c r="BM88" s="305"/>
      <c r="BN88" s="119"/>
      <c r="BP88" s="62"/>
      <c r="BQ88" s="182">
        <v>1</v>
      </c>
      <c r="BR88" s="182">
        <v>2</v>
      </c>
      <c r="BS88" s="182">
        <v>3</v>
      </c>
      <c r="BT88" s="182">
        <v>4</v>
      </c>
      <c r="BU88" s="182">
        <v>5</v>
      </c>
      <c r="BV88" s="182">
        <v>6</v>
      </c>
      <c r="BW88" s="182">
        <v>7</v>
      </c>
      <c r="BX88" s="182">
        <v>8</v>
      </c>
      <c r="BY88" s="182">
        <v>9</v>
      </c>
      <c r="BZ88" s="182">
        <v>10</v>
      </c>
      <c r="CA88" s="182">
        <v>11</v>
      </c>
      <c r="CB88" s="182">
        <v>12</v>
      </c>
      <c r="CC88" s="182">
        <v>13</v>
      </c>
      <c r="CD88" s="182">
        <v>14</v>
      </c>
      <c r="CE88" s="182">
        <v>15</v>
      </c>
      <c r="CF88" s="182">
        <v>16</v>
      </c>
      <c r="CG88" s="182">
        <v>17</v>
      </c>
      <c r="CH88" s="182">
        <v>18</v>
      </c>
      <c r="CI88" s="182">
        <v>19</v>
      </c>
      <c r="CJ88" s="182">
        <v>20</v>
      </c>
      <c r="CK88" s="182">
        <v>21</v>
      </c>
      <c r="CL88" s="182">
        <v>22</v>
      </c>
      <c r="CM88" s="182">
        <v>23</v>
      </c>
      <c r="CN88" s="182">
        <v>24</v>
      </c>
      <c r="CO88" s="182">
        <v>25</v>
      </c>
      <c r="CP88" s="182">
        <v>26</v>
      </c>
      <c r="CQ88" s="182">
        <v>27</v>
      </c>
      <c r="CR88" s="182">
        <v>28</v>
      </c>
      <c r="CS88" s="182">
        <v>29</v>
      </c>
      <c r="CT88" s="182">
        <v>30</v>
      </c>
      <c r="CU88" s="182">
        <v>31</v>
      </c>
      <c r="CV88" s="182">
        <v>32</v>
      </c>
      <c r="CW88" s="182">
        <v>33</v>
      </c>
      <c r="CX88" s="182">
        <v>34</v>
      </c>
      <c r="CY88" s="182">
        <v>35</v>
      </c>
      <c r="CZ88" s="182">
        <v>36</v>
      </c>
      <c r="DA88" s="182">
        <v>37</v>
      </c>
      <c r="DB88" s="182"/>
      <c r="DC88" s="62"/>
      <c r="DD88" s="62"/>
    </row>
    <row r="89" spans="2:108" ht="24" hidden="1" thickBot="1" x14ac:dyDescent="0.3">
      <c r="E89" s="300"/>
      <c r="F89" s="300"/>
      <c r="G89" s="797"/>
      <c r="H89"/>
      <c r="I89"/>
      <c r="J89"/>
      <c r="K89"/>
      <c r="L89"/>
      <c r="M89"/>
      <c r="N89"/>
      <c r="O89" s="794"/>
      <c r="U89" s="97"/>
      <c r="AB89" s="97"/>
      <c r="AC89" s="97"/>
      <c r="AD89" s="97"/>
      <c r="AE89" s="97"/>
      <c r="BN89" s="69"/>
      <c r="BO89" s="11"/>
      <c r="BP89" s="79"/>
      <c r="BQ89" s="72"/>
      <c r="BR89" s="72"/>
      <c r="BS89" s="72"/>
      <c r="BT89" s="72"/>
      <c r="BU89" s="72"/>
      <c r="BV89" s="72"/>
      <c r="BW89" s="72"/>
      <c r="BX89" s="72"/>
      <c r="BY89" s="72"/>
      <c r="BZ89" s="77"/>
      <c r="CA89" s="72"/>
      <c r="CB89" s="72"/>
      <c r="CC89" s="72"/>
      <c r="CD89" s="72"/>
      <c r="CE89" s="72"/>
      <c r="CF89" s="72"/>
      <c r="CG89" s="72"/>
      <c r="CH89" s="72"/>
      <c r="CI89" s="72"/>
      <c r="CJ89" s="72"/>
      <c r="CK89" s="72"/>
      <c r="CL89" s="72"/>
      <c r="CM89" s="72"/>
      <c r="CN89" s="26"/>
      <c r="CO89" s="78"/>
      <c r="CP89" s="78"/>
      <c r="CQ89" s="78"/>
      <c r="CR89" s="78"/>
      <c r="CS89" s="75"/>
      <c r="CT89" s="75"/>
      <c r="CU89" s="75"/>
      <c r="CV89" s="75"/>
      <c r="CW89" s="75"/>
      <c r="CX89" s="75"/>
      <c r="CY89" s="75"/>
      <c r="CZ89" s="75"/>
      <c r="DA89" s="75"/>
      <c r="DB89" s="75"/>
      <c r="DC89" s="10"/>
      <c r="DD89" s="62"/>
    </row>
    <row r="90" spans="2:108" ht="24" hidden="1" thickBot="1" x14ac:dyDescent="0.3">
      <c r="D90" s="300"/>
      <c r="E90" s="300"/>
      <c r="F90" s="300"/>
      <c r="G90" s="797"/>
      <c r="H90"/>
      <c r="I90"/>
      <c r="J90"/>
      <c r="K90"/>
      <c r="L90"/>
      <c r="M90"/>
      <c r="N90"/>
      <c r="O90" s="794"/>
      <c r="U90" s="97"/>
      <c r="AB90" s="97"/>
      <c r="AC90" s="97"/>
      <c r="AD90" s="97"/>
      <c r="AE90" s="97"/>
      <c r="BN90" s="69"/>
      <c r="BO90" s="11"/>
      <c r="BP90" s="79">
        <v>36</v>
      </c>
      <c r="BQ90" s="80"/>
      <c r="BR90" s="80"/>
      <c r="BS90" s="80"/>
      <c r="BT90" s="80"/>
      <c r="BU90" s="80"/>
      <c r="BV90" s="80"/>
      <c r="BW90" s="80"/>
      <c r="BX90" s="80"/>
      <c r="BY90" s="77"/>
      <c r="BZ90" s="77"/>
      <c r="CA90" s="72"/>
      <c r="CB90" s="72"/>
      <c r="CC90" s="72"/>
      <c r="CD90" s="72"/>
      <c r="CE90" s="72"/>
      <c r="CF90" s="72"/>
      <c r="CG90" s="72"/>
      <c r="CH90" s="81"/>
      <c r="CI90" s="82"/>
      <c r="CJ90" s="83"/>
      <c r="CK90" s="72"/>
      <c r="CL90" s="72"/>
      <c r="CM90" s="72"/>
      <c r="CN90" s="26"/>
      <c r="CO90" s="78"/>
      <c r="CP90" s="78"/>
      <c r="CQ90" s="78"/>
      <c r="CR90" s="78"/>
      <c r="CS90" s="75"/>
      <c r="CT90" s="75"/>
      <c r="CU90" s="75"/>
      <c r="CV90" s="75"/>
      <c r="CW90" s="75"/>
      <c r="CX90" s="75"/>
      <c r="CY90" s="84" t="b">
        <f>IF(CZ83=36,35)</f>
        <v>0</v>
      </c>
      <c r="CZ90" s="85"/>
      <c r="DA90" s="86" t="b">
        <f>IF(CZ83=36,37)</f>
        <v>0</v>
      </c>
      <c r="DB90" s="75"/>
      <c r="DC90" s="10"/>
      <c r="DD90" s="62"/>
    </row>
    <row r="91" spans="2:108" ht="24" hidden="1" thickBot="1" x14ac:dyDescent="0.3">
      <c r="D91" s="300"/>
      <c r="E91" s="300"/>
      <c r="F91" s="300"/>
      <c r="G91" s="797"/>
      <c r="H91"/>
      <c r="I91"/>
      <c r="J91"/>
      <c r="K91"/>
      <c r="L91"/>
      <c r="M91"/>
      <c r="N91"/>
      <c r="O91" s="794"/>
      <c r="U91" s="97"/>
      <c r="AB91" s="97"/>
      <c r="AC91" s="97"/>
      <c r="AD91" s="97"/>
      <c r="AE91" s="97"/>
      <c r="BN91" s="69"/>
      <c r="BO91" s="11"/>
      <c r="BP91" s="79">
        <v>35</v>
      </c>
      <c r="BQ91" s="80"/>
      <c r="BR91" s="80"/>
      <c r="BS91" s="80"/>
      <c r="BT91" s="80"/>
      <c r="BU91" s="80"/>
      <c r="BV91" s="80"/>
      <c r="BW91" s="80"/>
      <c r="BX91" s="80"/>
      <c r="BY91" s="77"/>
      <c r="BZ91" s="77"/>
      <c r="CA91" s="72"/>
      <c r="CB91" s="72"/>
      <c r="CC91" s="72"/>
      <c r="CD91" s="72"/>
      <c r="CE91" s="72"/>
      <c r="CF91" s="72"/>
      <c r="CG91" s="72"/>
      <c r="CH91" s="87"/>
      <c r="CI91" s="72"/>
      <c r="CJ91" s="88"/>
      <c r="CK91" s="72"/>
      <c r="CL91" s="72"/>
      <c r="CM91" s="72"/>
      <c r="CN91" s="26"/>
      <c r="CO91" s="78"/>
      <c r="CP91" s="78"/>
      <c r="CQ91" s="78"/>
      <c r="CR91" s="78"/>
      <c r="CS91" s="75"/>
      <c r="CT91" s="75"/>
      <c r="CU91" s="75"/>
      <c r="CV91" s="75"/>
      <c r="CW91" s="84" t="b">
        <f>IF(CY83=35,33)</f>
        <v>0</v>
      </c>
      <c r="CX91" s="85"/>
      <c r="CY91" s="85"/>
      <c r="CZ91" s="85"/>
      <c r="DA91" s="86" t="b">
        <f>IF(CY83=35,37)</f>
        <v>0</v>
      </c>
      <c r="DB91" s="75"/>
      <c r="DC91" s="10"/>
      <c r="DD91" s="62"/>
    </row>
    <row r="92" spans="2:108" ht="24" hidden="1" thickBot="1" x14ac:dyDescent="0.3">
      <c r="B92" s="302"/>
      <c r="C92" s="302"/>
      <c r="D92" s="300"/>
      <c r="E92" s="300"/>
      <c r="F92" s="300"/>
      <c r="G92" s="797"/>
      <c r="H92"/>
      <c r="I92"/>
      <c r="J92"/>
      <c r="K92"/>
      <c r="L92"/>
      <c r="M92"/>
      <c r="N92"/>
      <c r="O92" s="794"/>
      <c r="U92" s="97"/>
      <c r="AB92" s="97"/>
      <c r="AC92" s="97"/>
      <c r="AD92" s="97"/>
      <c r="AE92" s="97"/>
      <c r="BN92" s="69"/>
      <c r="BO92" s="11"/>
      <c r="BP92" s="79">
        <v>34</v>
      </c>
      <c r="BQ92" s="80"/>
      <c r="BR92" s="80"/>
      <c r="BS92" s="80"/>
      <c r="BT92" s="80"/>
      <c r="BU92" s="80"/>
      <c r="BV92" s="80"/>
      <c r="BW92" s="80"/>
      <c r="BX92" s="80"/>
      <c r="BY92" s="77"/>
      <c r="BZ92" s="77"/>
      <c r="CA92" s="72"/>
      <c r="CB92" s="72"/>
      <c r="CC92" s="72"/>
      <c r="CD92" s="72"/>
      <c r="CE92" s="72"/>
      <c r="CF92" s="72"/>
      <c r="CG92" s="72"/>
      <c r="CH92" s="87"/>
      <c r="CI92" s="72"/>
      <c r="CJ92" s="88"/>
      <c r="CK92" s="72"/>
      <c r="CL92" s="72"/>
      <c r="CM92" s="72"/>
      <c r="CN92" s="26"/>
      <c r="CO92" s="78"/>
      <c r="CP92" s="78"/>
      <c r="CQ92" s="78"/>
      <c r="CR92" s="78"/>
      <c r="CS92" s="75"/>
      <c r="CT92" s="75"/>
      <c r="CU92" s="84" t="b">
        <f>IF(CX83=34,31)</f>
        <v>0</v>
      </c>
      <c r="CV92" s="85"/>
      <c r="CW92" s="85"/>
      <c r="CX92" s="85"/>
      <c r="CY92" s="85"/>
      <c r="CZ92" s="85"/>
      <c r="DA92" s="86" t="b">
        <f>IF(CX83=34,37)</f>
        <v>0</v>
      </c>
      <c r="DB92" s="75"/>
      <c r="DC92" s="10"/>
      <c r="DD92" s="62"/>
    </row>
    <row r="93" spans="2:108" ht="24" hidden="1" thickBot="1" x14ac:dyDescent="0.3">
      <c r="B93" s="302"/>
      <c r="C93" s="302"/>
      <c r="D93" s="300"/>
      <c r="E93" s="300"/>
      <c r="F93" s="300"/>
      <c r="G93" s="797"/>
      <c r="H93"/>
      <c r="I93"/>
      <c r="J93"/>
      <c r="K93"/>
      <c r="L93"/>
      <c r="M93"/>
      <c r="N93"/>
      <c r="O93" s="794"/>
      <c r="U93" s="97"/>
      <c r="AB93" s="97"/>
      <c r="AC93" s="97"/>
      <c r="AD93" s="97"/>
      <c r="AE93" s="97"/>
      <c r="BN93" s="69"/>
      <c r="BO93" s="11"/>
      <c r="BP93" s="79">
        <v>33</v>
      </c>
      <c r="BQ93" s="80"/>
      <c r="BR93" s="80"/>
      <c r="BS93" s="80"/>
      <c r="BT93" s="80"/>
      <c r="BU93" s="80"/>
      <c r="BV93" s="80"/>
      <c r="BW93" s="80"/>
      <c r="BX93" s="80"/>
      <c r="BY93" s="77"/>
      <c r="BZ93" s="77"/>
      <c r="CA93" s="72"/>
      <c r="CB93" s="72"/>
      <c r="CC93" s="72"/>
      <c r="CD93" s="72"/>
      <c r="CE93" s="72"/>
      <c r="CF93" s="72"/>
      <c r="CG93" s="72"/>
      <c r="CH93" s="87"/>
      <c r="CI93" s="72"/>
      <c r="CJ93" s="88"/>
      <c r="CK93" s="72"/>
      <c r="CL93" s="72"/>
      <c r="CM93" s="72"/>
      <c r="CN93" s="26"/>
      <c r="CO93" s="78"/>
      <c r="CP93" s="78"/>
      <c r="CQ93" s="78"/>
      <c r="CR93" s="78"/>
      <c r="CS93" s="84" t="b">
        <f>IF(CW83=33,29)</f>
        <v>0</v>
      </c>
      <c r="CT93" s="85"/>
      <c r="CU93" s="85"/>
      <c r="CV93" s="85"/>
      <c r="CW93" s="85"/>
      <c r="CX93" s="85"/>
      <c r="CY93" s="85"/>
      <c r="CZ93" s="85"/>
      <c r="DA93" s="86" t="b">
        <f>IF(CW83=33,37)</f>
        <v>0</v>
      </c>
      <c r="DB93" s="75"/>
      <c r="DC93" s="10"/>
      <c r="DD93" s="62"/>
    </row>
    <row r="94" spans="2:108" ht="21" hidden="1" thickBot="1" x14ac:dyDescent="0.25">
      <c r="B94" s="304"/>
      <c r="E94" s="300"/>
      <c r="F94" s="300"/>
      <c r="G94" s="797"/>
      <c r="H94"/>
      <c r="I94"/>
      <c r="J94"/>
      <c r="K94"/>
      <c r="L94"/>
      <c r="M94"/>
      <c r="N94"/>
      <c r="O94" s="794"/>
      <c r="U94" s="97"/>
      <c r="AB94" s="97"/>
      <c r="AC94" s="97"/>
      <c r="AD94" s="97"/>
      <c r="AE94" s="97"/>
      <c r="BN94" s="69"/>
      <c r="BP94" s="79">
        <v>32</v>
      </c>
      <c r="BQ94" s="90"/>
      <c r="BR94" s="90"/>
      <c r="BS94" s="90"/>
      <c r="BT94" s="90"/>
      <c r="BU94" s="90"/>
      <c r="BV94" s="91"/>
      <c r="BW94" s="90"/>
      <c r="BX94" s="90"/>
      <c r="BY94" s="90"/>
      <c r="BZ94" s="90"/>
      <c r="CA94" s="90"/>
      <c r="CB94" s="90"/>
      <c r="CC94" s="90"/>
      <c r="CD94" s="90"/>
      <c r="CE94" s="90"/>
      <c r="CF94" s="90"/>
      <c r="CG94" s="90"/>
      <c r="CH94" s="92"/>
      <c r="CI94" s="90"/>
      <c r="CJ94" s="93"/>
      <c r="CK94" s="90"/>
      <c r="CL94" s="90"/>
      <c r="CM94" s="90"/>
      <c r="CN94" s="91"/>
      <c r="CO94" s="62"/>
      <c r="CP94" s="62"/>
      <c r="CQ94" s="84" t="b">
        <f>IF(CV83=32,27)</f>
        <v>0</v>
      </c>
      <c r="CR94" s="94"/>
      <c r="CS94" s="94"/>
      <c r="CT94" s="94"/>
      <c r="CU94" s="94"/>
      <c r="CV94" s="94"/>
      <c r="CW94" s="94"/>
      <c r="CX94" s="94"/>
      <c r="CY94" s="94"/>
      <c r="CZ94" s="94"/>
      <c r="DA94" s="86" t="b">
        <f>IF(CV83=32,37)</f>
        <v>0</v>
      </c>
      <c r="DB94" s="62"/>
      <c r="DC94" s="62"/>
      <c r="DD94" s="62"/>
    </row>
    <row r="95" spans="2:108" ht="21" hidden="1" thickBot="1" x14ac:dyDescent="0.25">
      <c r="B95" s="48"/>
      <c r="C95" s="302"/>
      <c r="D95" s="300"/>
      <c r="E95" s="48"/>
      <c r="G95" s="797"/>
      <c r="H95"/>
      <c r="I95"/>
      <c r="J95"/>
      <c r="K95"/>
      <c r="L95"/>
      <c r="M95"/>
      <c r="N95"/>
      <c r="O95" s="794"/>
      <c r="U95" s="97"/>
      <c r="AB95" s="97"/>
      <c r="AC95" s="97"/>
      <c r="AD95" s="97"/>
      <c r="AE95" s="97"/>
      <c r="BN95" s="69"/>
      <c r="BP95" s="79">
        <v>31</v>
      </c>
      <c r="BQ95" s="90"/>
      <c r="BR95" s="90"/>
      <c r="BS95" s="90"/>
      <c r="BT95" s="90"/>
      <c r="BU95" s="90"/>
      <c r="BV95" s="91"/>
      <c r="BW95" s="90"/>
      <c r="BX95" s="90"/>
      <c r="BY95" s="90"/>
      <c r="BZ95" s="90"/>
      <c r="CA95" s="90"/>
      <c r="CB95" s="90"/>
      <c r="CC95" s="90"/>
      <c r="CD95" s="90"/>
      <c r="CE95" s="90"/>
      <c r="CF95" s="90"/>
      <c r="CG95" s="90"/>
      <c r="CH95" s="92"/>
      <c r="CI95" s="90"/>
      <c r="CJ95" s="93"/>
      <c r="CK95" s="90"/>
      <c r="CL95" s="90"/>
      <c r="CM95" s="90"/>
      <c r="CN95" s="91"/>
      <c r="CO95" s="84" t="b">
        <f>IF(CU83=31,25)</f>
        <v>0</v>
      </c>
      <c r="CP95" s="94"/>
      <c r="CQ95" s="94"/>
      <c r="CR95" s="94"/>
      <c r="CS95" s="94"/>
      <c r="CT95" s="94"/>
      <c r="CU95" s="94"/>
      <c r="CV95" s="94"/>
      <c r="CW95" s="94"/>
      <c r="CX95" s="94"/>
      <c r="CY95" s="94"/>
      <c r="CZ95" s="94"/>
      <c r="DA95" s="86" t="b">
        <f>IF(CU83=31,37)</f>
        <v>0</v>
      </c>
      <c r="DB95" s="62"/>
      <c r="DC95" s="62"/>
      <c r="DD95" s="62"/>
    </row>
    <row r="96" spans="2:108" ht="21" hidden="1" thickBot="1" x14ac:dyDescent="0.25">
      <c r="B96" s="302"/>
      <c r="C96" s="302"/>
      <c r="D96" s="300"/>
      <c r="E96" s="300"/>
      <c r="F96" s="300"/>
      <c r="G96" s="797"/>
      <c r="H96"/>
      <c r="I96"/>
      <c r="J96"/>
      <c r="K96"/>
      <c r="L96"/>
      <c r="M96"/>
      <c r="N96"/>
      <c r="O96" s="794"/>
      <c r="U96" s="97"/>
      <c r="AB96" s="97"/>
      <c r="AC96" s="97"/>
      <c r="AD96" s="97"/>
      <c r="AE96" s="97"/>
      <c r="BN96" s="69"/>
      <c r="BP96" s="79">
        <v>30</v>
      </c>
      <c r="BQ96" s="90"/>
      <c r="BR96" s="90"/>
      <c r="BS96" s="90"/>
      <c r="BT96" s="90"/>
      <c r="BU96" s="90"/>
      <c r="BV96" s="91"/>
      <c r="BW96" s="90"/>
      <c r="BX96" s="90"/>
      <c r="BY96" s="90"/>
      <c r="BZ96" s="90"/>
      <c r="CA96" s="90"/>
      <c r="CB96" s="90"/>
      <c r="CC96" s="90"/>
      <c r="CD96" s="90"/>
      <c r="CE96" s="90"/>
      <c r="CF96" s="90"/>
      <c r="CG96" s="90"/>
      <c r="CH96" s="92"/>
      <c r="CI96" s="90"/>
      <c r="CJ96" s="93"/>
      <c r="CK96" s="90"/>
      <c r="CL96" s="90"/>
      <c r="CM96" s="84" t="b">
        <f>IF(CT83=30,23)</f>
        <v>0</v>
      </c>
      <c r="CN96" s="95"/>
      <c r="CO96" s="94"/>
      <c r="CP96" s="94"/>
      <c r="CQ96" s="94"/>
      <c r="CR96" s="94"/>
      <c r="CS96" s="94"/>
      <c r="CT96" s="94"/>
      <c r="CU96" s="94"/>
      <c r="CV96" s="94"/>
      <c r="CW96" s="94"/>
      <c r="CX96" s="94"/>
      <c r="CY96" s="94"/>
      <c r="CZ96" s="94"/>
      <c r="DA96" s="86" t="b">
        <f>IF(CT83=30,37)</f>
        <v>0</v>
      </c>
      <c r="DB96" s="62"/>
      <c r="DC96" s="62"/>
      <c r="DD96" s="62"/>
    </row>
    <row r="97" spans="2:143" ht="21" hidden="1" thickBot="1" x14ac:dyDescent="0.25">
      <c r="B97" s="12"/>
      <c r="C97" s="302"/>
      <c r="E97" s="12"/>
      <c r="G97" s="797"/>
      <c r="H97"/>
      <c r="I97"/>
      <c r="J97"/>
      <c r="K97"/>
      <c r="L97"/>
      <c r="M97"/>
      <c r="N97"/>
      <c r="O97" s="794"/>
      <c r="U97" s="97"/>
      <c r="AB97" s="97"/>
      <c r="AC97" s="97"/>
      <c r="AD97" s="97"/>
      <c r="AE97" s="97"/>
      <c r="BE97" s="97"/>
      <c r="BF97" s="97"/>
      <c r="BG97" s="97"/>
      <c r="BH97" s="97"/>
      <c r="BN97" s="69"/>
      <c r="BO97" s="97"/>
      <c r="BP97" s="79">
        <v>29</v>
      </c>
      <c r="BQ97" s="62"/>
      <c r="BR97" s="62"/>
      <c r="BS97" s="62"/>
      <c r="BT97" s="62"/>
      <c r="BU97" s="62"/>
      <c r="BV97" s="62"/>
      <c r="BW97" s="62"/>
      <c r="BX97" s="62"/>
      <c r="BY97" s="62"/>
      <c r="BZ97" s="62"/>
      <c r="CA97" s="62"/>
      <c r="CB97" s="62"/>
      <c r="CC97" s="62"/>
      <c r="CD97" s="62"/>
      <c r="CE97" s="62"/>
      <c r="CF97" s="62"/>
      <c r="CG97" s="62"/>
      <c r="CH97" s="98"/>
      <c r="CI97" s="62"/>
      <c r="CJ97" s="99"/>
      <c r="CK97" s="100" t="b">
        <f>IF(CS83=29,21)</f>
        <v>0</v>
      </c>
      <c r="CL97" s="94"/>
      <c r="CM97" s="94"/>
      <c r="CN97" s="94"/>
      <c r="CO97" s="94"/>
      <c r="CP97" s="94"/>
      <c r="CQ97" s="94"/>
      <c r="CR97" s="101"/>
      <c r="CS97" s="94"/>
      <c r="CT97" s="101"/>
      <c r="CU97" s="102"/>
      <c r="CV97" s="102"/>
      <c r="CW97" s="102"/>
      <c r="CX97" s="102"/>
      <c r="CY97" s="102"/>
      <c r="CZ97" s="102"/>
      <c r="DA97" s="86" t="b">
        <f>IF(CS83=29,37)</f>
        <v>0</v>
      </c>
      <c r="DB97" s="60"/>
      <c r="DC97" s="62"/>
      <c r="DD97" s="62"/>
    </row>
    <row r="98" spans="2:143" ht="31" hidden="1" thickBot="1" x14ac:dyDescent="0.35">
      <c r="B98" s="51"/>
      <c r="C98" s="302"/>
      <c r="E98" s="52"/>
      <c r="G98" s="797"/>
      <c r="H98"/>
      <c r="I98"/>
      <c r="J98"/>
      <c r="K98"/>
      <c r="L98"/>
      <c r="M98"/>
      <c r="N98"/>
      <c r="O98" s="794"/>
      <c r="U98" s="97"/>
      <c r="AB98" s="97"/>
      <c r="AC98" s="97"/>
      <c r="AD98" s="97"/>
      <c r="AE98" s="97"/>
      <c r="BE98" s="97"/>
      <c r="BF98" s="97"/>
      <c r="BG98" s="97"/>
      <c r="BH98" s="97"/>
      <c r="BN98" s="69"/>
      <c r="BO98" s="97"/>
      <c r="BP98" s="79">
        <v>28</v>
      </c>
      <c r="BQ98" s="62"/>
      <c r="BR98" s="62"/>
      <c r="BS98" s="62"/>
      <c r="BT98" s="62"/>
      <c r="BU98" s="62"/>
      <c r="BV98" s="62"/>
      <c r="BW98" s="62"/>
      <c r="BX98" s="62"/>
      <c r="BY98" s="62"/>
      <c r="BZ98" s="62"/>
      <c r="CA98" s="62"/>
      <c r="CB98" s="62"/>
      <c r="CC98" s="62"/>
      <c r="CD98" s="62"/>
      <c r="CE98" s="62"/>
      <c r="CF98" s="62"/>
      <c r="CG98" s="62"/>
      <c r="CH98" s="98"/>
      <c r="CI98" s="62"/>
      <c r="CJ98" s="99"/>
      <c r="CK98" s="103" t="b">
        <f>IF(CR83=28,21)</f>
        <v>0</v>
      </c>
      <c r="CL98" s="104"/>
      <c r="CM98" s="104"/>
      <c r="CN98" s="104"/>
      <c r="CO98" s="104"/>
      <c r="CP98" s="105"/>
      <c r="CQ98" s="104"/>
      <c r="CR98" s="104"/>
      <c r="CS98" s="104"/>
      <c r="CT98" s="105"/>
      <c r="CU98" s="106"/>
      <c r="CV98" s="106"/>
      <c r="CW98" s="106"/>
      <c r="CX98" s="106"/>
      <c r="CY98" s="107" t="b">
        <f>IF(CR83=28,35)</f>
        <v>0</v>
      </c>
      <c r="CZ98" s="60"/>
      <c r="DA98" s="60"/>
      <c r="DB98" s="60"/>
      <c r="DC98" s="62"/>
      <c r="DD98" s="62"/>
    </row>
    <row r="99" spans="2:143" ht="21" hidden="1" thickBot="1" x14ac:dyDescent="0.25">
      <c r="B99" s="302"/>
      <c r="C99" s="302"/>
      <c r="D99" s="300"/>
      <c r="E99" s="300"/>
      <c r="F99" s="300"/>
      <c r="G99" s="797"/>
      <c r="H99"/>
      <c r="I99"/>
      <c r="J99"/>
      <c r="K99"/>
      <c r="L99"/>
      <c r="M99"/>
      <c r="N99"/>
      <c r="O99" s="794"/>
      <c r="U99" s="97"/>
      <c r="AB99" s="97"/>
      <c r="AC99" s="97"/>
      <c r="AD99" s="97"/>
      <c r="AE99" s="97"/>
      <c r="BE99" s="97"/>
      <c r="BF99" s="97"/>
      <c r="BG99" s="97"/>
      <c r="BH99" s="97"/>
      <c r="BN99" s="69"/>
      <c r="BO99" s="97"/>
      <c r="BP99" s="79">
        <v>27</v>
      </c>
      <c r="BQ99" s="62"/>
      <c r="BR99" s="62"/>
      <c r="BS99" s="62"/>
      <c r="BT99" s="62"/>
      <c r="BU99" s="62"/>
      <c r="BV99" s="62"/>
      <c r="BW99" s="62"/>
      <c r="BX99" s="62"/>
      <c r="BY99" s="62"/>
      <c r="BZ99" s="62"/>
      <c r="CA99" s="62"/>
      <c r="CB99" s="62"/>
      <c r="CC99" s="62"/>
      <c r="CD99" s="62"/>
      <c r="CE99" s="62"/>
      <c r="CF99" s="62"/>
      <c r="CG99" s="62"/>
      <c r="CH99" s="98"/>
      <c r="CI99" s="62"/>
      <c r="CJ99" s="99"/>
      <c r="CK99" s="103" t="b">
        <f>IF(CQ83=27,21)</f>
        <v>0</v>
      </c>
      <c r="CL99" s="104"/>
      <c r="CM99" s="104"/>
      <c r="CN99" s="105"/>
      <c r="CO99" s="104"/>
      <c r="CP99" s="104"/>
      <c r="CQ99" s="104"/>
      <c r="CR99" s="104"/>
      <c r="CS99" s="104"/>
      <c r="CT99" s="105"/>
      <c r="CU99" s="106"/>
      <c r="CV99" s="106"/>
      <c r="CW99" s="107" t="b">
        <f>IF(CQ83=27,33)</f>
        <v>0</v>
      </c>
      <c r="CX99" s="60"/>
      <c r="CY99" s="60"/>
      <c r="CZ99" s="60"/>
      <c r="DA99" s="60"/>
      <c r="DB99" s="60"/>
      <c r="DC99" s="62"/>
      <c r="DD99" s="62"/>
    </row>
    <row r="100" spans="2:143" ht="21" hidden="1" thickBot="1" x14ac:dyDescent="0.25">
      <c r="B100" s="302"/>
      <c r="C100" s="302"/>
      <c r="D100" s="300"/>
      <c r="E100" s="300"/>
      <c r="F100" s="300"/>
      <c r="G100" s="797"/>
      <c r="H100"/>
      <c r="I100"/>
      <c r="J100"/>
      <c r="K100"/>
      <c r="L100"/>
      <c r="M100"/>
      <c r="N100"/>
      <c r="O100" s="794"/>
      <c r="U100" s="97"/>
      <c r="AB100" s="97"/>
      <c r="AC100" s="97"/>
      <c r="AD100" s="97"/>
      <c r="AE100" s="97"/>
      <c r="BN100" s="69"/>
      <c r="BP100" s="79">
        <v>26</v>
      </c>
      <c r="BQ100" s="62"/>
      <c r="BR100" s="62"/>
      <c r="BS100" s="62"/>
      <c r="BT100" s="62"/>
      <c r="BU100" s="62"/>
      <c r="BV100" s="62"/>
      <c r="BW100" s="62"/>
      <c r="BX100" s="62"/>
      <c r="BY100" s="62"/>
      <c r="BZ100" s="62"/>
      <c r="CA100" s="62"/>
      <c r="CB100" s="62"/>
      <c r="CC100" s="62"/>
      <c r="CD100" s="62"/>
      <c r="CE100" s="62"/>
      <c r="CF100" s="62"/>
      <c r="CG100" s="62"/>
      <c r="CH100" s="98"/>
      <c r="CI100" s="62"/>
      <c r="CJ100" s="99"/>
      <c r="CK100" s="103" t="b">
        <f>IF(CP83=26,21)</f>
        <v>0</v>
      </c>
      <c r="CL100" s="105"/>
      <c r="CM100" s="104"/>
      <c r="CN100" s="104"/>
      <c r="CO100" s="104"/>
      <c r="CP100" s="104"/>
      <c r="CQ100" s="104"/>
      <c r="CR100" s="104"/>
      <c r="CS100" s="104"/>
      <c r="CT100" s="105"/>
      <c r="CU100" s="107" t="b">
        <f>IF(CP83=26,31)</f>
        <v>0</v>
      </c>
      <c r="CV100" s="60"/>
      <c r="CW100" s="60"/>
      <c r="CX100" s="60"/>
      <c r="CY100" s="60"/>
      <c r="CZ100" s="60"/>
      <c r="DA100" s="60"/>
      <c r="DB100" s="60"/>
      <c r="DC100" s="62"/>
      <c r="DD100" s="62"/>
    </row>
    <row r="101" spans="2:143" ht="21" hidden="1" thickBot="1" x14ac:dyDescent="0.25">
      <c r="B101" s="302"/>
      <c r="C101" s="302"/>
      <c r="D101" s="300"/>
      <c r="E101" s="300"/>
      <c r="F101" s="300"/>
      <c r="G101" s="797"/>
      <c r="H101"/>
      <c r="I101"/>
      <c r="J101"/>
      <c r="K101"/>
      <c r="L101"/>
      <c r="M101"/>
      <c r="N101"/>
      <c r="O101" s="794"/>
      <c r="U101" s="97"/>
      <c r="AB101" s="97"/>
      <c r="AC101" s="97"/>
      <c r="AD101" s="97"/>
      <c r="AE101" s="97"/>
      <c r="BE101" s="109"/>
      <c r="BF101" s="109"/>
      <c r="BG101" s="109"/>
      <c r="BH101" s="109"/>
      <c r="BN101" s="69"/>
      <c r="BO101" s="109"/>
      <c r="BP101" s="79">
        <v>25</v>
      </c>
      <c r="BQ101" s="62"/>
      <c r="BR101" s="62"/>
      <c r="BS101" s="62"/>
      <c r="BT101" s="62"/>
      <c r="BU101" s="62"/>
      <c r="BV101" s="62"/>
      <c r="BW101" s="62"/>
      <c r="BX101" s="62"/>
      <c r="BY101" s="62"/>
      <c r="BZ101" s="62"/>
      <c r="CA101" s="62"/>
      <c r="CC101" s="62"/>
      <c r="CD101" s="62"/>
      <c r="CE101" s="62"/>
      <c r="CF101" s="62"/>
      <c r="CG101" s="62"/>
      <c r="CH101" s="98"/>
      <c r="CI101" s="62"/>
      <c r="CK101" s="111" t="b">
        <f>IF(CO83=25,21)</f>
        <v>0</v>
      </c>
      <c r="CL101" s="104"/>
      <c r="CM101" s="104"/>
      <c r="CN101" s="104"/>
      <c r="CO101" s="104"/>
      <c r="CP101" s="104"/>
      <c r="CQ101" s="104"/>
      <c r="CR101" s="104"/>
      <c r="CS101" s="107" t="b">
        <f>IF(CO83=25,29)</f>
        <v>0</v>
      </c>
      <c r="CU101" s="60"/>
      <c r="CV101" s="60"/>
      <c r="CW101" s="60"/>
      <c r="CX101" s="60"/>
      <c r="CY101" s="60"/>
      <c r="CZ101" s="60"/>
      <c r="DA101" s="60"/>
      <c r="DB101" s="60"/>
      <c r="DC101" s="62"/>
      <c r="DD101" s="62"/>
    </row>
    <row r="102" spans="2:143" ht="21" hidden="1" thickBot="1" x14ac:dyDescent="0.25">
      <c r="B102" s="302"/>
      <c r="C102" s="302"/>
      <c r="D102" s="300"/>
      <c r="E102" s="300"/>
      <c r="F102" s="300"/>
      <c r="G102" s="797"/>
      <c r="H102"/>
      <c r="I102"/>
      <c r="J102"/>
      <c r="K102"/>
      <c r="L102"/>
      <c r="M102"/>
      <c r="N102"/>
      <c r="O102" s="794"/>
      <c r="U102" s="97"/>
      <c r="AB102" s="97"/>
      <c r="AC102" s="97"/>
      <c r="AD102" s="97"/>
      <c r="AE102" s="97"/>
      <c r="BE102" s="109"/>
      <c r="BF102" s="109"/>
      <c r="BG102" s="109"/>
      <c r="BH102" s="109"/>
      <c r="BN102" s="69"/>
      <c r="BO102" s="109"/>
      <c r="BP102" s="79">
        <v>24</v>
      </c>
      <c r="BQ102" s="62"/>
      <c r="BR102" s="62"/>
      <c r="BS102" s="62"/>
      <c r="BT102" s="62"/>
      <c r="BU102" s="62"/>
      <c r="BV102" s="62"/>
      <c r="BW102" s="62"/>
      <c r="BX102" s="62"/>
      <c r="BY102" s="62"/>
      <c r="BZ102" s="62"/>
      <c r="CA102" s="62"/>
      <c r="CB102" s="100" t="b">
        <f>IF(CN83=24,12)</f>
        <v>0</v>
      </c>
      <c r="CC102" s="94"/>
      <c r="CD102" s="94"/>
      <c r="CE102" s="94"/>
      <c r="CF102" s="94"/>
      <c r="CG102" s="94"/>
      <c r="CH102" s="101"/>
      <c r="CI102" s="94"/>
      <c r="CJ102" s="112"/>
      <c r="CK102" s="94"/>
      <c r="CL102" s="94"/>
      <c r="CM102" s="94"/>
      <c r="CN102" s="94"/>
      <c r="CO102" s="94"/>
      <c r="CP102" s="94"/>
      <c r="CQ102" s="94"/>
      <c r="CR102" s="94"/>
      <c r="CS102" s="94"/>
      <c r="CT102" s="101"/>
      <c r="CU102" s="102"/>
      <c r="CV102" s="102"/>
      <c r="CW102" s="102"/>
      <c r="CX102" s="102"/>
      <c r="CY102" s="102"/>
      <c r="CZ102" s="86" t="b">
        <f>IF(CN83=24,36)</f>
        <v>0</v>
      </c>
      <c r="DA102" s="60"/>
      <c r="DB102" s="60"/>
      <c r="DC102" s="62"/>
      <c r="DD102" s="62"/>
    </row>
    <row r="103" spans="2:143" ht="21" hidden="1" thickBot="1" x14ac:dyDescent="0.25">
      <c r="B103" s="302"/>
      <c r="C103" s="302"/>
      <c r="D103" s="300"/>
      <c r="E103" s="300"/>
      <c r="F103" s="300"/>
      <c r="G103" s="797"/>
      <c r="H103"/>
      <c r="I103"/>
      <c r="J103"/>
      <c r="K103"/>
      <c r="L103"/>
      <c r="M103"/>
      <c r="N103"/>
      <c r="O103" s="794"/>
      <c r="U103" s="97"/>
      <c r="AB103" s="97"/>
      <c r="AC103" s="97"/>
      <c r="AD103" s="97"/>
      <c r="AE103" s="97"/>
      <c r="BE103" s="109"/>
      <c r="BF103" s="109"/>
      <c r="BG103" s="109"/>
      <c r="BH103" s="109"/>
      <c r="BN103" s="69"/>
      <c r="BO103" s="109"/>
      <c r="BP103" s="79">
        <v>23</v>
      </c>
      <c r="BQ103" s="62"/>
      <c r="BR103" s="62"/>
      <c r="BS103" s="62"/>
      <c r="BT103" s="62"/>
      <c r="BU103" s="62"/>
      <c r="BV103" s="62"/>
      <c r="BW103" s="62"/>
      <c r="BX103" s="62"/>
      <c r="BY103" s="62"/>
      <c r="BZ103" s="62"/>
      <c r="CA103" s="62"/>
      <c r="CB103" s="103" t="b">
        <f>IF(CM83=23,12)</f>
        <v>0</v>
      </c>
      <c r="CC103" s="104"/>
      <c r="CD103" s="104"/>
      <c r="CE103" s="104"/>
      <c r="CF103" s="105"/>
      <c r="CG103" s="104"/>
      <c r="CH103" s="115"/>
      <c r="CI103" s="104"/>
      <c r="CJ103" s="116"/>
      <c r="CK103" s="104"/>
      <c r="CL103" s="104"/>
      <c r="CM103" s="104"/>
      <c r="CN103" s="104"/>
      <c r="CO103" s="104"/>
      <c r="CP103" s="104"/>
      <c r="CQ103" s="104"/>
      <c r="CR103" s="104"/>
      <c r="CS103" s="104"/>
      <c r="CT103" s="105"/>
      <c r="CU103" s="106"/>
      <c r="CV103" s="106"/>
      <c r="CW103" s="106"/>
      <c r="CX103" s="107" t="b">
        <f>IF(CM83=23,34)</f>
        <v>0</v>
      </c>
      <c r="CY103" s="60"/>
      <c r="CZ103" s="60"/>
      <c r="DA103" s="60"/>
      <c r="DB103" s="60"/>
      <c r="DC103" s="62"/>
      <c r="DD103" s="62"/>
    </row>
    <row r="104" spans="2:143" ht="21" hidden="1" thickBot="1" x14ac:dyDescent="0.25">
      <c r="B104" s="302"/>
      <c r="C104" s="302"/>
      <c r="D104" s="300"/>
      <c r="E104" s="300"/>
      <c r="F104" s="300"/>
      <c r="G104" s="797"/>
      <c r="H104"/>
      <c r="I104"/>
      <c r="J104"/>
      <c r="K104"/>
      <c r="L104"/>
      <c r="M104"/>
      <c r="N104"/>
      <c r="O104" s="794"/>
      <c r="U104" s="97"/>
      <c r="AB104" s="97"/>
      <c r="AC104" s="97"/>
      <c r="AD104" s="97"/>
      <c r="AE104" s="97"/>
      <c r="BE104" s="109"/>
      <c r="BF104" s="109"/>
      <c r="BG104" s="109"/>
      <c r="BH104" s="109"/>
      <c r="BN104" s="69"/>
      <c r="BO104" s="109"/>
      <c r="BP104" s="79">
        <v>22</v>
      </c>
      <c r="BQ104" s="60"/>
      <c r="BR104" s="60"/>
      <c r="BS104" s="60"/>
      <c r="BT104" s="60"/>
      <c r="BU104" s="60"/>
      <c r="BV104" s="60"/>
      <c r="BW104" s="60"/>
      <c r="BX104" s="60"/>
      <c r="BY104" s="60"/>
      <c r="BZ104" s="60"/>
      <c r="CA104" s="60"/>
      <c r="CB104" s="103" t="b">
        <f>IF(CL83=22,12)</f>
        <v>0</v>
      </c>
      <c r="CC104" s="106"/>
      <c r="CD104" s="106"/>
      <c r="CE104" s="106"/>
      <c r="CF104" s="105"/>
      <c r="CG104" s="106"/>
      <c r="CH104" s="117"/>
      <c r="CI104" s="106"/>
      <c r="CJ104" s="118"/>
      <c r="CK104" s="106"/>
      <c r="CL104" s="106"/>
      <c r="CM104" s="106"/>
      <c r="CN104" s="106"/>
      <c r="CO104" s="104"/>
      <c r="CP104" s="104"/>
      <c r="CQ104" s="105"/>
      <c r="CR104" s="104"/>
      <c r="CS104" s="104"/>
      <c r="CT104" s="104"/>
      <c r="CU104" s="104"/>
      <c r="CV104" s="107" t="b">
        <f>IF(CL83=22,32)</f>
        <v>0</v>
      </c>
      <c r="CW104" s="62"/>
      <c r="CX104" s="62"/>
      <c r="CY104" s="62"/>
      <c r="CZ104" s="62"/>
      <c r="DA104" s="62"/>
      <c r="DB104" s="62"/>
      <c r="DC104" s="62"/>
      <c r="DD104" s="62"/>
    </row>
    <row r="105" spans="2:143" ht="21" hidden="1" thickBot="1" x14ac:dyDescent="0.25">
      <c r="B105" s="302"/>
      <c r="C105" s="302"/>
      <c r="D105" s="300"/>
      <c r="E105" s="300"/>
      <c r="F105" s="300"/>
      <c r="G105" s="797"/>
      <c r="H105"/>
      <c r="I105"/>
      <c r="J105"/>
      <c r="K105"/>
      <c r="L105"/>
      <c r="M105"/>
      <c r="N105"/>
      <c r="O105" s="794"/>
      <c r="U105" s="97"/>
      <c r="AB105" s="97"/>
      <c r="AC105" s="97"/>
      <c r="AD105" s="97"/>
      <c r="AE105" s="97"/>
      <c r="BE105" s="109"/>
      <c r="BF105" s="109"/>
      <c r="BG105" s="109"/>
      <c r="BH105" s="109"/>
      <c r="BN105" s="69"/>
      <c r="BO105" s="109"/>
      <c r="BP105" s="79">
        <v>21</v>
      </c>
      <c r="BQ105" s="62"/>
      <c r="BR105" s="62"/>
      <c r="BS105" s="62"/>
      <c r="BT105" s="62"/>
      <c r="BU105" s="62"/>
      <c r="BV105" s="62"/>
      <c r="BW105" s="62"/>
      <c r="BX105" s="62"/>
      <c r="BY105" s="62"/>
      <c r="BZ105" s="62"/>
      <c r="CA105" s="62"/>
      <c r="CB105" s="103" t="b">
        <f>IF(CK83=21,12)</f>
        <v>0</v>
      </c>
      <c r="CC105" s="104"/>
      <c r="CD105" s="104"/>
      <c r="CE105" s="104"/>
      <c r="CF105" s="104"/>
      <c r="CG105" s="104"/>
      <c r="CH105" s="115"/>
      <c r="CI105" s="104"/>
      <c r="CJ105" s="116"/>
      <c r="CK105" s="104"/>
      <c r="CL105" s="104"/>
      <c r="CM105" s="104"/>
      <c r="CN105" s="104"/>
      <c r="CO105" s="104"/>
      <c r="CP105" s="104"/>
      <c r="CQ105" s="104"/>
      <c r="CR105" s="104"/>
      <c r="CS105" s="104"/>
      <c r="CT105" s="107" t="b">
        <f>IF(CK83=21,30)</f>
        <v>0</v>
      </c>
      <c r="CU105" s="60"/>
      <c r="CV105" s="60"/>
      <c r="CW105" s="60"/>
      <c r="CX105" s="60"/>
      <c r="CY105" s="60"/>
      <c r="CZ105" s="60"/>
      <c r="DA105" s="60"/>
      <c r="DB105" s="60"/>
      <c r="DC105" s="62"/>
      <c r="DD105" s="62"/>
    </row>
    <row r="106" spans="2:143" ht="21" hidden="1" thickBot="1" x14ac:dyDescent="0.25">
      <c r="B106" s="302"/>
      <c r="C106" s="302"/>
      <c r="D106" s="300"/>
      <c r="E106" s="300"/>
      <c r="F106" s="300"/>
      <c r="G106" s="797"/>
      <c r="H106"/>
      <c r="I106"/>
      <c r="J106"/>
      <c r="K106"/>
      <c r="L106"/>
      <c r="M106"/>
      <c r="N106"/>
      <c r="O106" s="794"/>
      <c r="U106" s="97"/>
      <c r="AB106" s="97"/>
      <c r="AC106" s="97"/>
      <c r="AD106" s="97"/>
      <c r="AE106" s="97"/>
      <c r="BE106" s="119"/>
      <c r="BF106" s="119"/>
      <c r="BG106" s="119"/>
      <c r="BH106" s="119"/>
      <c r="BN106" s="69"/>
      <c r="BO106" s="863"/>
      <c r="BP106" s="79">
        <v>20</v>
      </c>
      <c r="BQ106" s="62"/>
      <c r="BR106" s="62"/>
      <c r="BS106" s="62"/>
      <c r="BT106" s="62"/>
      <c r="BU106" s="62"/>
      <c r="BV106" s="62"/>
      <c r="BW106" s="62"/>
      <c r="BX106" s="62"/>
      <c r="CA106" s="120"/>
      <c r="CB106" s="100" t="b">
        <f>IF(CJ83=20,12)</f>
        <v>0</v>
      </c>
      <c r="CC106" s="94"/>
      <c r="CD106" s="94"/>
      <c r="CE106" s="94"/>
      <c r="CF106" s="94"/>
      <c r="CG106" s="94"/>
      <c r="CH106" s="121"/>
      <c r="CI106" s="94"/>
      <c r="CJ106" s="112"/>
      <c r="CK106" s="94"/>
      <c r="CL106" s="94"/>
      <c r="CM106" s="94"/>
      <c r="CN106" s="94"/>
      <c r="CO106" s="94"/>
      <c r="CP106" s="94"/>
      <c r="CQ106" s="94"/>
      <c r="CR106" s="86" t="b">
        <f>IF(CJ83=20,28)</f>
        <v>0</v>
      </c>
      <c r="CS106" s="120"/>
      <c r="CU106" s="60"/>
      <c r="CV106" s="60"/>
      <c r="CW106" s="60"/>
      <c r="CX106" s="60"/>
      <c r="CY106" s="60"/>
      <c r="CZ106" s="60"/>
      <c r="DA106" s="60"/>
      <c r="DB106" s="60"/>
      <c r="DC106" s="62"/>
      <c r="DD106" s="62"/>
    </row>
    <row r="107" spans="2:143" ht="21" hidden="1" thickBot="1" x14ac:dyDescent="0.25">
      <c r="B107" s="302"/>
      <c r="C107" s="302"/>
      <c r="D107" s="300"/>
      <c r="E107" s="300"/>
      <c r="F107" s="300"/>
      <c r="G107" s="797"/>
      <c r="H107"/>
      <c r="I107"/>
      <c r="J107"/>
      <c r="K107"/>
      <c r="L107"/>
      <c r="M107"/>
      <c r="N107"/>
      <c r="O107" s="794"/>
      <c r="U107" s="97"/>
      <c r="AB107" s="97"/>
      <c r="AC107" s="97"/>
      <c r="AD107" s="97"/>
      <c r="AE107" s="97"/>
      <c r="BE107" s="119"/>
      <c r="BF107" s="119"/>
      <c r="BG107" s="119"/>
      <c r="BH107" s="119"/>
      <c r="BN107" s="69"/>
      <c r="BO107" s="863"/>
      <c r="BP107" s="79">
        <v>19</v>
      </c>
      <c r="BQ107" s="62"/>
      <c r="BR107" s="62"/>
      <c r="BS107" s="62"/>
      <c r="BT107" s="62"/>
      <c r="BU107" s="62"/>
      <c r="BV107" s="62"/>
      <c r="BW107" s="62"/>
      <c r="BX107" s="62"/>
      <c r="BZ107" s="122"/>
      <c r="CA107" s="122"/>
      <c r="CB107" s="100" t="b">
        <f>IF(CI83=19,12)</f>
        <v>0</v>
      </c>
      <c r="CC107" s="102"/>
      <c r="CD107" s="102"/>
      <c r="CE107" s="101"/>
      <c r="CF107" s="102"/>
      <c r="CG107" s="102"/>
      <c r="CH107" s="123"/>
      <c r="CI107" s="102"/>
      <c r="CJ107" s="124"/>
      <c r="CK107" s="101"/>
      <c r="CL107" s="102"/>
      <c r="CM107" s="102"/>
      <c r="CN107" s="102"/>
      <c r="CO107" s="94"/>
      <c r="CP107" s="86" t="b">
        <f>IF(CI83=19,26)</f>
        <v>0</v>
      </c>
      <c r="CQ107" s="125"/>
      <c r="CR107" s="120"/>
      <c r="CT107" s="62"/>
      <c r="CU107" s="62"/>
      <c r="CV107" s="62"/>
      <c r="CW107" s="62"/>
      <c r="CX107" s="62"/>
      <c r="CY107" s="62"/>
      <c r="CZ107" s="62"/>
      <c r="DA107" s="62"/>
      <c r="DB107" s="62"/>
      <c r="DC107" s="62"/>
      <c r="DD107" s="62"/>
    </row>
    <row r="108" spans="2:143" ht="21" hidden="1" thickBot="1" x14ac:dyDescent="0.25">
      <c r="B108" s="302"/>
      <c r="C108" s="302"/>
      <c r="D108" s="300"/>
      <c r="E108" s="300"/>
      <c r="F108" s="300"/>
      <c r="G108" s="797"/>
      <c r="H108"/>
      <c r="I108"/>
      <c r="J108"/>
      <c r="K108"/>
      <c r="L108"/>
      <c r="M108"/>
      <c r="N108"/>
      <c r="O108" s="794"/>
      <c r="U108" s="97"/>
      <c r="AB108" s="97"/>
      <c r="AC108" s="97"/>
      <c r="AD108" s="97"/>
      <c r="AE108" s="97"/>
      <c r="BE108" s="119"/>
      <c r="BF108" s="119"/>
      <c r="BG108" s="119"/>
      <c r="BH108" s="119"/>
      <c r="BN108" s="69"/>
      <c r="BO108" s="863"/>
      <c r="BP108" s="79">
        <v>18</v>
      </c>
      <c r="BQ108" s="60"/>
      <c r="BR108" s="60"/>
      <c r="BS108" s="60"/>
      <c r="BT108" s="60"/>
      <c r="BU108" s="60"/>
      <c r="BV108" s="60"/>
      <c r="BW108" s="60"/>
      <c r="BX108" s="60"/>
      <c r="BZ108" s="100">
        <f>IF(CH83=18,10)</f>
        <v>10</v>
      </c>
      <c r="CA108" s="102"/>
      <c r="CB108" s="102"/>
      <c r="CC108" s="102"/>
      <c r="CD108" s="102"/>
      <c r="CE108" s="101"/>
      <c r="CF108" s="102"/>
      <c r="CG108" s="102"/>
      <c r="CH108" s="123"/>
      <c r="CI108" s="102"/>
      <c r="CJ108" s="124"/>
      <c r="CK108" s="101"/>
      <c r="CL108" s="102"/>
      <c r="CM108" s="102"/>
      <c r="CN108" s="102"/>
      <c r="CO108" s="94"/>
      <c r="CP108" s="86">
        <f>IF(CH83=18,26)</f>
        <v>26</v>
      </c>
      <c r="CR108" s="62"/>
      <c r="CS108" s="62"/>
      <c r="CT108" s="62"/>
      <c r="CU108" s="62"/>
      <c r="CV108" s="62"/>
      <c r="CW108" s="62"/>
      <c r="CX108" s="62"/>
      <c r="CY108" s="62"/>
      <c r="CZ108" s="62"/>
      <c r="DA108" s="62"/>
      <c r="DB108" s="62"/>
      <c r="DC108" s="62"/>
      <c r="DD108" s="62"/>
    </row>
    <row r="109" spans="2:143" ht="21" hidden="1" thickBot="1" x14ac:dyDescent="0.25">
      <c r="B109" s="302"/>
      <c r="C109" s="302"/>
      <c r="D109" s="300"/>
      <c r="E109" s="300"/>
      <c r="F109" s="300"/>
      <c r="G109" s="797"/>
      <c r="H109"/>
      <c r="I109"/>
      <c r="J109"/>
      <c r="K109"/>
      <c r="L109"/>
      <c r="M109"/>
      <c r="N109"/>
      <c r="O109" s="794"/>
      <c r="U109" s="97"/>
      <c r="AB109" s="97"/>
      <c r="AC109" s="97"/>
      <c r="AD109" s="97"/>
      <c r="AE109" s="97"/>
      <c r="BE109" s="119"/>
      <c r="BF109" s="119"/>
      <c r="BG109" s="119"/>
      <c r="BH109" s="119"/>
      <c r="BN109" s="69"/>
      <c r="BO109" s="863"/>
      <c r="BP109" s="79">
        <v>17</v>
      </c>
      <c r="BQ109" s="60"/>
      <c r="BR109" s="60"/>
      <c r="BS109" s="60"/>
      <c r="BT109" s="60"/>
      <c r="BU109" s="60"/>
      <c r="BV109" s="60"/>
      <c r="BW109" s="60"/>
      <c r="BX109" s="100" t="b">
        <f>IF(CG83=17,8)</f>
        <v>0</v>
      </c>
      <c r="BY109" s="101"/>
      <c r="BZ109" s="101"/>
      <c r="CA109" s="102"/>
      <c r="CB109" s="102"/>
      <c r="CC109" s="102"/>
      <c r="CD109" s="102"/>
      <c r="CE109" s="102"/>
      <c r="CF109" s="102"/>
      <c r="CG109" s="102"/>
      <c r="CH109" s="123"/>
      <c r="CI109" s="102"/>
      <c r="CJ109" s="124"/>
      <c r="CK109" s="102"/>
      <c r="CL109" s="102"/>
      <c r="CM109" s="102"/>
      <c r="CN109" s="101"/>
      <c r="CO109" s="101"/>
      <c r="CP109" s="86" t="b">
        <f>IF(CG83=17,26)</f>
        <v>0</v>
      </c>
      <c r="CQ109" s="62"/>
      <c r="CR109" s="62"/>
      <c r="CS109" s="62"/>
      <c r="CT109" s="62"/>
      <c r="CU109" s="62"/>
      <c r="CV109" s="62"/>
      <c r="CW109" s="62"/>
      <c r="CX109" s="62"/>
      <c r="CY109" s="62"/>
      <c r="CZ109" s="62"/>
      <c r="DA109" s="62"/>
      <c r="DB109" s="62"/>
      <c r="DC109" s="62"/>
      <c r="DD109" s="62"/>
      <c r="DF109" s="1105"/>
      <c r="DG109" s="1105"/>
      <c r="DH109" s="60"/>
      <c r="DI109" s="60"/>
      <c r="DJ109" s="61"/>
      <c r="DK109" s="62"/>
      <c r="DL109" s="62"/>
      <c r="DM109" s="62"/>
      <c r="DN109" s="62"/>
      <c r="DO109" s="62"/>
      <c r="DP109" s="62"/>
      <c r="DQ109" s="62"/>
      <c r="DR109" s="62"/>
      <c r="DS109" s="62"/>
      <c r="DT109" s="62"/>
      <c r="DU109" s="62"/>
      <c r="DV109" s="62"/>
      <c r="DW109" s="62"/>
      <c r="DX109" s="62"/>
      <c r="DY109" s="62"/>
      <c r="DZ109" s="62"/>
      <c r="EA109" s="62"/>
      <c r="EB109" s="62"/>
      <c r="EC109" s="62"/>
      <c r="ED109" s="62"/>
      <c r="EE109" s="62"/>
      <c r="EF109" s="62"/>
      <c r="EG109" s="62"/>
      <c r="EH109" s="62"/>
      <c r="EI109" s="62"/>
      <c r="EJ109" s="62"/>
      <c r="EK109" s="62"/>
      <c r="EL109" s="58"/>
      <c r="EM109" s="58"/>
    </row>
    <row r="110" spans="2:143" ht="21" hidden="1" thickBot="1" x14ac:dyDescent="0.25">
      <c r="B110" s="302"/>
      <c r="C110" s="302"/>
      <c r="D110" s="300"/>
      <c r="E110" s="300"/>
      <c r="F110" s="300"/>
      <c r="G110" s="797"/>
      <c r="H110"/>
      <c r="I110"/>
      <c r="J110"/>
      <c r="K110"/>
      <c r="L110"/>
      <c r="M110"/>
      <c r="N110"/>
      <c r="O110" s="794"/>
      <c r="U110" s="97"/>
      <c r="AB110" s="97"/>
      <c r="AC110" s="97"/>
      <c r="AD110" s="97"/>
      <c r="AE110" s="97"/>
      <c r="BE110" s="119"/>
      <c r="BF110" s="119"/>
      <c r="BG110" s="119"/>
      <c r="BH110" s="119"/>
      <c r="BN110" s="69"/>
      <c r="BO110" s="863"/>
      <c r="BP110" s="79">
        <v>16</v>
      </c>
      <c r="BQ110" s="60"/>
      <c r="BR110" s="60"/>
      <c r="BS110" s="60"/>
      <c r="BT110" s="60"/>
      <c r="BU110" s="60"/>
      <c r="BV110" s="128" t="b">
        <f>IF(CF83=16,6)</f>
        <v>0</v>
      </c>
      <c r="BW110" s="129"/>
      <c r="BX110" s="130"/>
      <c r="BY110" s="130"/>
      <c r="BZ110" s="129"/>
      <c r="CA110" s="129"/>
      <c r="CB110" s="129"/>
      <c r="CC110" s="129"/>
      <c r="CD110" s="129"/>
      <c r="CE110" s="129"/>
      <c r="CF110" s="129"/>
      <c r="CG110" s="129"/>
      <c r="CH110" s="131"/>
      <c r="CI110" s="129"/>
      <c r="CJ110" s="132"/>
      <c r="CK110" s="129"/>
      <c r="CL110" s="129"/>
      <c r="CM110" s="130"/>
      <c r="CN110" s="130"/>
      <c r="CO110" s="133"/>
      <c r="CP110" s="134" t="b">
        <f>IF(CF83=16,26)</f>
        <v>0</v>
      </c>
      <c r="CQ110" s="62"/>
      <c r="CR110" s="62"/>
      <c r="CS110" s="62"/>
      <c r="CT110" s="62"/>
      <c r="CU110" s="62"/>
      <c r="CV110" s="62"/>
      <c r="CW110" s="62"/>
      <c r="CX110" s="62"/>
      <c r="CY110" s="62"/>
      <c r="CZ110" s="62"/>
      <c r="DA110" s="62"/>
      <c r="DB110" s="62"/>
      <c r="DC110" s="62"/>
      <c r="DD110" s="62"/>
      <c r="EJ110" s="62"/>
      <c r="EK110" s="62"/>
    </row>
    <row r="111" spans="2:143" ht="21" hidden="1" thickBot="1" x14ac:dyDescent="0.25">
      <c r="C111" s="302"/>
      <c r="G111" s="797"/>
      <c r="H111"/>
      <c r="I111"/>
      <c r="J111"/>
      <c r="K111"/>
      <c r="L111"/>
      <c r="M111"/>
      <c r="N111"/>
      <c r="O111" s="794"/>
      <c r="U111" s="97"/>
      <c r="AB111" s="97"/>
      <c r="AC111" s="97"/>
      <c r="AD111" s="97"/>
      <c r="AE111" s="97"/>
      <c r="BE111" s="119"/>
      <c r="BF111" s="119"/>
      <c r="BG111" s="119"/>
      <c r="BH111" s="119"/>
      <c r="BN111" s="69"/>
      <c r="BO111" s="863"/>
      <c r="BP111" s="79">
        <v>15</v>
      </c>
      <c r="BQ111" s="60"/>
      <c r="BR111" s="60"/>
      <c r="BS111" s="60"/>
      <c r="BT111" s="100" t="b">
        <f>IF(CE83=15,4)</f>
        <v>0</v>
      </c>
      <c r="BU111" s="102"/>
      <c r="BV111" s="102"/>
      <c r="BW111" s="102"/>
      <c r="BX111" s="101"/>
      <c r="BY111" s="102"/>
      <c r="BZ111" s="102"/>
      <c r="CA111" s="101"/>
      <c r="CB111" s="102"/>
      <c r="CC111" s="102"/>
      <c r="CD111" s="102"/>
      <c r="CE111" s="102"/>
      <c r="CF111" s="102"/>
      <c r="CG111" s="102"/>
      <c r="CH111" s="123"/>
      <c r="CI111" s="101"/>
      <c r="CJ111" s="124"/>
      <c r="CK111" s="102"/>
      <c r="CL111" s="101"/>
      <c r="CM111" s="102"/>
      <c r="CN111" s="102"/>
      <c r="CO111" s="94"/>
      <c r="CP111" s="86" t="b">
        <f>IF(CE83=15,26)</f>
        <v>0</v>
      </c>
      <c r="CQ111" s="62"/>
      <c r="CR111" s="62"/>
      <c r="CS111" s="62"/>
      <c r="CT111" s="62"/>
      <c r="CU111" s="62"/>
      <c r="CV111" s="62"/>
      <c r="CW111" s="62"/>
      <c r="CX111" s="62"/>
      <c r="CY111" s="62"/>
      <c r="CZ111" s="62"/>
      <c r="DA111" s="62"/>
      <c r="DB111" s="62"/>
      <c r="DC111" s="62"/>
      <c r="DD111" s="62"/>
      <c r="EJ111" s="62"/>
      <c r="EK111" s="62"/>
    </row>
    <row r="112" spans="2:143" ht="21" hidden="1" thickBot="1" x14ac:dyDescent="0.25">
      <c r="B112" s="1118"/>
      <c r="C112" s="1118"/>
      <c r="D112" s="1118"/>
      <c r="E112" s="1118"/>
      <c r="G112" s="797"/>
      <c r="H112"/>
      <c r="I112"/>
      <c r="J112"/>
      <c r="K112"/>
      <c r="L112"/>
      <c r="M112"/>
      <c r="N112"/>
      <c r="O112" s="794"/>
      <c r="U112" s="97"/>
      <c r="AB112" s="97"/>
      <c r="AC112" s="97"/>
      <c r="AD112" s="97"/>
      <c r="AE112" s="97"/>
      <c r="BE112" s="119"/>
      <c r="BF112" s="119"/>
      <c r="BG112" s="119"/>
      <c r="BH112" s="119"/>
      <c r="BN112" s="69"/>
      <c r="BO112" s="863"/>
      <c r="BP112" s="79">
        <v>14</v>
      </c>
      <c r="BQ112" s="60"/>
      <c r="BR112" s="100" t="b">
        <f>IF(CD83=14,2)</f>
        <v>0</v>
      </c>
      <c r="BS112" s="102"/>
      <c r="BT112" s="102"/>
      <c r="BU112" s="102"/>
      <c r="BV112" s="101"/>
      <c r="BW112" s="102"/>
      <c r="BX112" s="102"/>
      <c r="BY112" s="101"/>
      <c r="BZ112" s="102"/>
      <c r="CA112" s="102"/>
      <c r="CB112" s="102"/>
      <c r="CC112" s="102"/>
      <c r="CD112" s="102"/>
      <c r="CE112" s="102"/>
      <c r="CF112" s="102"/>
      <c r="CG112" s="102"/>
      <c r="CH112" s="123"/>
      <c r="CI112" s="101"/>
      <c r="CJ112" s="124"/>
      <c r="CK112" s="102"/>
      <c r="CL112" s="101"/>
      <c r="CM112" s="102"/>
      <c r="CN112" s="102"/>
      <c r="CO112" s="94"/>
      <c r="CP112" s="86" t="b">
        <f>IF(CD83=14,26)</f>
        <v>0</v>
      </c>
      <c r="CQ112" s="62"/>
      <c r="CR112" s="62"/>
      <c r="CS112" s="62"/>
      <c r="CT112" s="62"/>
      <c r="CU112" s="62"/>
      <c r="CV112" s="62"/>
      <c r="CW112" s="62"/>
      <c r="CX112" s="62"/>
      <c r="CY112" s="62"/>
      <c r="CZ112" s="62"/>
      <c r="DA112" s="62"/>
      <c r="DB112" s="62"/>
      <c r="DC112" s="62"/>
      <c r="DD112" s="62"/>
      <c r="EJ112" s="62"/>
      <c r="EK112" s="62"/>
    </row>
    <row r="113" spans="2:141" ht="21" hidden="1" thickBot="1" x14ac:dyDescent="0.25">
      <c r="B113" s="278"/>
      <c r="C113" s="306"/>
      <c r="D113" s="278"/>
      <c r="E113" s="278"/>
      <c r="F113" s="300"/>
      <c r="G113" s="797"/>
      <c r="H113"/>
      <c r="I113"/>
      <c r="J113"/>
      <c r="K113"/>
      <c r="L113"/>
      <c r="M113"/>
      <c r="N113"/>
      <c r="O113" s="794"/>
      <c r="U113" s="97"/>
      <c r="AB113" s="97"/>
      <c r="AC113" s="97"/>
      <c r="AD113" s="97"/>
      <c r="AE113" s="97"/>
      <c r="BE113" s="119"/>
      <c r="BF113" s="119"/>
      <c r="BG113" s="119"/>
      <c r="BH113" s="119"/>
      <c r="BN113" s="69"/>
      <c r="BO113" s="863"/>
      <c r="BP113" s="79">
        <v>13</v>
      </c>
      <c r="BQ113" s="60"/>
      <c r="BR113" s="60"/>
      <c r="BS113" s="60"/>
      <c r="BU113" s="135"/>
      <c r="BV113" s="135"/>
      <c r="BW113" s="74"/>
      <c r="BX113" s="135"/>
      <c r="BY113" s="103" t="b">
        <f>IF(CC83=13,9)</f>
        <v>0</v>
      </c>
      <c r="BZ113" s="106"/>
      <c r="CA113" s="106"/>
      <c r="CB113" s="106"/>
      <c r="CC113" s="106"/>
      <c r="CD113" s="106"/>
      <c r="CE113" s="106"/>
      <c r="CF113" s="106"/>
      <c r="CG113" s="107" t="b">
        <f>IF(CC83=13,17)</f>
        <v>0</v>
      </c>
      <c r="CH113" s="136"/>
      <c r="CI113" s="74"/>
      <c r="CJ113" s="137"/>
      <c r="CK113" s="135"/>
      <c r="CM113" s="60"/>
      <c r="CN113" s="60"/>
      <c r="CO113" s="62"/>
      <c r="CP113" s="62"/>
      <c r="CQ113" s="62"/>
      <c r="CR113" s="62"/>
      <c r="CS113" s="62"/>
      <c r="CT113" s="62"/>
      <c r="CU113" s="62"/>
      <c r="CV113" s="62"/>
      <c r="CW113" s="62"/>
      <c r="CX113" s="62"/>
      <c r="CY113" s="62"/>
      <c r="CZ113" s="62"/>
      <c r="DA113" s="62"/>
      <c r="DB113" s="62"/>
      <c r="DC113" s="62"/>
      <c r="DD113" s="62"/>
      <c r="EJ113" s="62"/>
      <c r="EK113" s="62"/>
    </row>
    <row r="114" spans="2:141" ht="21" hidden="1" thickBot="1" x14ac:dyDescent="0.25">
      <c r="B114" s="307"/>
      <c r="C114" s="306"/>
      <c r="D114" s="308"/>
      <c r="E114" s="280"/>
      <c r="F114" s="300"/>
      <c r="G114" s="797"/>
      <c r="H114"/>
      <c r="I114"/>
      <c r="J114"/>
      <c r="K114"/>
      <c r="L114"/>
      <c r="M114"/>
      <c r="N114"/>
      <c r="O114" s="794"/>
      <c r="U114" s="97"/>
      <c r="AB114" s="97"/>
      <c r="AC114" s="97"/>
      <c r="AD114" s="97"/>
      <c r="AE114" s="97"/>
      <c r="BE114" s="119"/>
      <c r="BF114" s="119"/>
      <c r="BG114" s="119"/>
      <c r="BH114" s="119"/>
      <c r="BN114" s="69"/>
      <c r="BO114" s="863"/>
      <c r="BP114" s="79">
        <v>12</v>
      </c>
      <c r="BQ114" s="60"/>
      <c r="BS114" s="122"/>
      <c r="BT114" s="122"/>
      <c r="BU114" s="125"/>
      <c r="BV114" s="122"/>
      <c r="BW114" s="100" t="b">
        <f>IF(CB83=12,7)</f>
        <v>0</v>
      </c>
      <c r="BX114" s="102"/>
      <c r="BY114" s="102"/>
      <c r="BZ114" s="102"/>
      <c r="CA114" s="102"/>
      <c r="CB114" s="102"/>
      <c r="CC114" s="102"/>
      <c r="CD114" s="102"/>
      <c r="CE114" s="102"/>
      <c r="CF114" s="102"/>
      <c r="CG114" s="86" t="b">
        <f>IF(CB83=12,17)</f>
        <v>0</v>
      </c>
      <c r="CH114" s="138"/>
      <c r="CI114" s="125"/>
      <c r="CJ114" s="139"/>
      <c r="CK114" s="122"/>
      <c r="CM114" s="60"/>
      <c r="CN114" s="60"/>
      <c r="CO114" s="62"/>
      <c r="CP114" s="62"/>
      <c r="CQ114" s="62"/>
      <c r="CR114" s="62"/>
      <c r="CS114" s="62"/>
      <c r="CT114" s="62"/>
      <c r="CU114" s="62"/>
      <c r="CV114" s="62"/>
      <c r="CW114" s="62"/>
      <c r="CX114" s="62"/>
      <c r="CY114" s="62"/>
      <c r="CZ114" s="62"/>
      <c r="DA114" s="62"/>
      <c r="DB114" s="62"/>
      <c r="DC114" s="62"/>
      <c r="DD114" s="62"/>
      <c r="DF114" s="90"/>
      <c r="DG114" s="90"/>
      <c r="DH114" s="90"/>
      <c r="DI114" s="90"/>
      <c r="DJ114" s="90"/>
      <c r="DK114" s="91"/>
      <c r="DL114" s="90"/>
      <c r="DM114" s="90"/>
      <c r="DN114" s="90"/>
      <c r="DO114" s="90"/>
      <c r="DP114" s="90"/>
      <c r="DQ114" s="90"/>
      <c r="DR114" s="90"/>
      <c r="DS114" s="90"/>
      <c r="DT114" s="90"/>
      <c r="DU114" s="90"/>
      <c r="DV114" s="90"/>
      <c r="DW114" s="90"/>
      <c r="DX114" s="90"/>
      <c r="DY114" s="90"/>
      <c r="DZ114" s="90"/>
      <c r="EA114" s="90"/>
      <c r="EB114" s="90"/>
      <c r="EC114" s="91"/>
      <c r="ED114" s="62"/>
      <c r="EE114" s="62"/>
      <c r="EF114" s="62"/>
      <c r="EG114" s="62"/>
      <c r="EH114" s="62"/>
      <c r="EI114" s="62"/>
      <c r="EJ114" s="62"/>
      <c r="EK114" s="62"/>
    </row>
    <row r="115" spans="2:141" ht="21" hidden="1" thickBot="1" x14ac:dyDescent="0.25">
      <c r="B115" s="306"/>
      <c r="C115" s="306"/>
      <c r="D115" s="69"/>
      <c r="E115" s="69"/>
      <c r="F115" s="300"/>
      <c r="G115" s="797"/>
      <c r="H115"/>
      <c r="I115"/>
      <c r="J115"/>
      <c r="K115"/>
      <c r="L115"/>
      <c r="M115"/>
      <c r="N115"/>
      <c r="O115" s="794"/>
      <c r="U115" s="97"/>
      <c r="AB115" s="97"/>
      <c r="AC115" s="97"/>
      <c r="AD115" s="97"/>
      <c r="AE115" s="97"/>
      <c r="BE115" s="119"/>
      <c r="BF115" s="119"/>
      <c r="BG115" s="119"/>
      <c r="BH115" s="119"/>
      <c r="BN115" s="69"/>
      <c r="BO115" s="863"/>
      <c r="BP115" s="79">
        <v>11</v>
      </c>
      <c r="BR115" s="135"/>
      <c r="BS115" s="74"/>
      <c r="BT115" s="135"/>
      <c r="BU115" s="100" t="b">
        <f>IF(CA83=11,5)</f>
        <v>0</v>
      </c>
      <c r="BV115" s="102"/>
      <c r="BW115" s="102"/>
      <c r="BX115" s="102"/>
      <c r="BY115" s="102"/>
      <c r="BZ115" s="102"/>
      <c r="CA115" s="102"/>
      <c r="CB115" s="102"/>
      <c r="CC115" s="102"/>
      <c r="CD115" s="102"/>
      <c r="CE115" s="102"/>
      <c r="CF115" s="102"/>
      <c r="CG115" s="86" t="b">
        <f>IF(CA83=11,17)</f>
        <v>0</v>
      </c>
      <c r="CH115" s="136"/>
      <c r="CI115" s="74"/>
      <c r="CJ115" s="137"/>
      <c r="CL115" s="60"/>
      <c r="CM115" s="60"/>
      <c r="CN115" s="60"/>
      <c r="CO115" s="62"/>
      <c r="CP115" s="62"/>
      <c r="CQ115" s="62"/>
      <c r="CR115" s="62"/>
      <c r="CS115" s="62"/>
      <c r="CT115" s="62"/>
      <c r="CU115" s="62"/>
      <c r="CV115" s="62"/>
      <c r="CW115" s="62"/>
      <c r="CX115" s="62"/>
      <c r="CY115" s="62"/>
      <c r="CZ115" s="62"/>
      <c r="DA115" s="62"/>
      <c r="DB115" s="62"/>
      <c r="DC115" s="62"/>
      <c r="DD115" s="62"/>
      <c r="DF115" s="90"/>
      <c r="DG115" s="90"/>
      <c r="DH115" s="90"/>
      <c r="DI115" s="90"/>
      <c r="DJ115" s="90"/>
      <c r="DK115" s="91"/>
      <c r="DL115" s="90"/>
      <c r="DM115" s="90"/>
      <c r="DN115" s="90"/>
      <c r="DO115" s="90"/>
      <c r="DP115" s="90"/>
      <c r="DQ115" s="90"/>
      <c r="DR115" s="90"/>
      <c r="DS115" s="90"/>
      <c r="DT115" s="90"/>
      <c r="DU115" s="90"/>
      <c r="DV115" s="90"/>
      <c r="DW115" s="90"/>
      <c r="DX115" s="90"/>
      <c r="DY115" s="90"/>
      <c r="DZ115" s="90"/>
      <c r="EA115" s="90"/>
      <c r="EB115" s="90"/>
      <c r="EC115" s="91"/>
      <c r="ED115" s="62"/>
      <c r="EE115" s="62"/>
      <c r="EF115" s="62"/>
      <c r="EG115" s="62"/>
      <c r="EH115" s="62"/>
      <c r="EI115" s="62"/>
      <c r="EJ115" s="62"/>
      <c r="EK115" s="62"/>
    </row>
    <row r="116" spans="2:141" ht="21" hidden="1" thickBot="1" x14ac:dyDescent="0.25">
      <c r="B116" s="278"/>
      <c r="C116" s="306"/>
      <c r="D116" s="278"/>
      <c r="E116" s="13"/>
      <c r="F116" s="300"/>
      <c r="G116" s="797"/>
      <c r="H116"/>
      <c r="I116"/>
      <c r="J116"/>
      <c r="K116"/>
      <c r="L116"/>
      <c r="M116"/>
      <c r="N116"/>
      <c r="O116" s="794"/>
      <c r="U116" s="97"/>
      <c r="AB116" s="97"/>
      <c r="AC116" s="97"/>
      <c r="AD116" s="97"/>
      <c r="AE116" s="97"/>
      <c r="BE116" s="119"/>
      <c r="BF116" s="119"/>
      <c r="BG116" s="119"/>
      <c r="BH116" s="119"/>
      <c r="BN116" s="69"/>
      <c r="BO116" s="863"/>
      <c r="BP116" s="79">
        <v>10</v>
      </c>
      <c r="BR116" s="135"/>
      <c r="BS116" s="100" t="b">
        <f>IF(BZ83=10,3)</f>
        <v>0</v>
      </c>
      <c r="BT116" s="102"/>
      <c r="BU116" s="102"/>
      <c r="BV116" s="102"/>
      <c r="BW116" s="102"/>
      <c r="BX116" s="102"/>
      <c r="BY116" s="102"/>
      <c r="BZ116" s="102"/>
      <c r="CA116" s="102"/>
      <c r="CB116" s="102"/>
      <c r="CC116" s="102"/>
      <c r="CD116" s="102"/>
      <c r="CE116" s="102"/>
      <c r="CF116" s="102"/>
      <c r="CG116" s="86" t="b">
        <f>IF(BZ83=10,17)</f>
        <v>0</v>
      </c>
      <c r="CH116" s="136"/>
      <c r="CJ116" s="140"/>
      <c r="CK116" s="60"/>
      <c r="CL116" s="60"/>
      <c r="CM116" s="60"/>
      <c r="CN116" s="60"/>
      <c r="CO116" s="62"/>
      <c r="CP116" s="62"/>
      <c r="CQ116" s="62"/>
      <c r="CR116" s="62"/>
      <c r="CS116" s="62"/>
      <c r="CT116" s="62"/>
      <c r="CU116" s="62"/>
      <c r="CV116" s="62"/>
      <c r="CW116" s="62"/>
      <c r="CX116" s="62"/>
      <c r="CY116" s="62"/>
      <c r="CZ116" s="62"/>
      <c r="DA116" s="62"/>
      <c r="DB116" s="62"/>
      <c r="DC116" s="62"/>
      <c r="DD116" s="62"/>
      <c r="EJ116" s="62"/>
      <c r="EK116" s="62"/>
    </row>
    <row r="117" spans="2:141" ht="21" hidden="1" thickBot="1" x14ac:dyDescent="0.25">
      <c r="B117" s="302"/>
      <c r="C117" s="302"/>
      <c r="F117" s="300"/>
      <c r="G117" s="797"/>
      <c r="H117"/>
      <c r="I117"/>
      <c r="J117"/>
      <c r="K117"/>
      <c r="L117"/>
      <c r="M117"/>
      <c r="N117"/>
      <c r="O117" s="794"/>
      <c r="U117" s="97"/>
      <c r="AB117" s="97"/>
      <c r="AC117" s="97"/>
      <c r="AD117" s="97"/>
      <c r="AE117" s="97"/>
      <c r="BF117" s="119"/>
      <c r="BG117" s="119"/>
      <c r="BH117" s="119"/>
      <c r="BN117" s="69"/>
      <c r="BO117" s="863"/>
      <c r="BP117" s="79">
        <v>9</v>
      </c>
      <c r="BQ117" s="100" t="b">
        <f>IF(BY83=9,1)</f>
        <v>0</v>
      </c>
      <c r="BR117" s="102"/>
      <c r="BS117" s="102"/>
      <c r="BT117" s="102"/>
      <c r="BU117" s="102"/>
      <c r="BV117" s="102"/>
      <c r="BW117" s="102"/>
      <c r="BX117" s="102"/>
      <c r="BY117" s="102"/>
      <c r="BZ117" s="102"/>
      <c r="CA117" s="102"/>
      <c r="CB117" s="102"/>
      <c r="CC117" s="102"/>
      <c r="CD117" s="102"/>
      <c r="CE117" s="102"/>
      <c r="CF117" s="102"/>
      <c r="CG117" s="86" t="b">
        <f>IF(BY83=9,17)</f>
        <v>0</v>
      </c>
      <c r="CH117" s="60"/>
      <c r="CI117" s="60"/>
      <c r="CJ117" s="140"/>
      <c r="CK117" s="60"/>
      <c r="CL117" s="60"/>
      <c r="CM117" s="60"/>
      <c r="CN117" s="60"/>
      <c r="CO117" s="62"/>
      <c r="CP117" s="62"/>
      <c r="CQ117" s="62"/>
      <c r="CR117" s="62"/>
      <c r="CS117" s="62"/>
      <c r="CT117" s="62"/>
      <c r="CU117" s="62"/>
      <c r="CV117" s="62"/>
      <c r="CW117" s="62"/>
      <c r="CX117" s="62"/>
      <c r="CY117" s="62"/>
      <c r="CZ117" s="62"/>
      <c r="DA117" s="62"/>
      <c r="DB117" s="62"/>
      <c r="DC117" s="62"/>
      <c r="DD117" s="62"/>
      <c r="EJ117" s="62"/>
      <c r="EK117" s="62"/>
    </row>
    <row r="118" spans="2:141" ht="21" hidden="1" thickBot="1" x14ac:dyDescent="0.25">
      <c r="B118" s="302"/>
      <c r="C118" s="302"/>
      <c r="G118" s="797"/>
      <c r="H118"/>
      <c r="I118"/>
      <c r="J118"/>
      <c r="K118"/>
      <c r="L118"/>
      <c r="M118"/>
      <c r="N118"/>
      <c r="O118" s="794"/>
      <c r="U118" s="97"/>
      <c r="AB118" s="97"/>
      <c r="AC118" s="97"/>
      <c r="AD118" s="97"/>
      <c r="AE118" s="97"/>
      <c r="BE118" s="119"/>
      <c r="BF118" s="119"/>
      <c r="BG118" s="119"/>
      <c r="BH118" s="119"/>
      <c r="BN118" s="69"/>
      <c r="BO118" s="863"/>
      <c r="BP118" s="79">
        <v>8</v>
      </c>
      <c r="BQ118" s="100" t="b">
        <f>IF(BX83=8,1)</f>
        <v>0</v>
      </c>
      <c r="BR118" s="102"/>
      <c r="BS118" s="101"/>
      <c r="BT118" s="102"/>
      <c r="BU118" s="102"/>
      <c r="BV118" s="102"/>
      <c r="BW118" s="102"/>
      <c r="BX118" s="102"/>
      <c r="BY118" s="102"/>
      <c r="BZ118" s="102"/>
      <c r="CA118" s="102"/>
      <c r="CB118" s="102"/>
      <c r="CC118" s="101"/>
      <c r="CD118" s="102"/>
      <c r="CE118" s="86" t="b">
        <f>IF(BX83=8,15)</f>
        <v>0</v>
      </c>
      <c r="CF118" s="60"/>
      <c r="CG118" s="60"/>
      <c r="CH118" s="141"/>
      <c r="CI118" s="60"/>
      <c r="CJ118" s="140"/>
      <c r="CK118" s="60"/>
      <c r="CL118" s="60"/>
      <c r="CM118" s="60"/>
      <c r="CN118" s="60"/>
      <c r="CO118" s="62"/>
      <c r="CP118" s="62"/>
      <c r="CQ118" s="62"/>
      <c r="CR118" s="62"/>
      <c r="CS118" s="62"/>
      <c r="CT118" s="62"/>
      <c r="CU118" s="62"/>
      <c r="CV118" s="62"/>
      <c r="CW118" s="62"/>
      <c r="CX118" s="62"/>
      <c r="CY118" s="62"/>
      <c r="CZ118" s="62"/>
      <c r="DA118" s="62"/>
      <c r="DB118" s="62"/>
      <c r="DC118" s="62"/>
      <c r="DD118" s="62"/>
      <c r="EJ118" s="62"/>
      <c r="EK118" s="62"/>
    </row>
    <row r="119" spans="2:141" ht="21" hidden="1" thickBot="1" x14ac:dyDescent="0.25">
      <c r="B119" s="302"/>
      <c r="C119" s="302"/>
      <c r="G119" s="797"/>
      <c r="H119"/>
      <c r="I119"/>
      <c r="J119"/>
      <c r="K119"/>
      <c r="L119"/>
      <c r="M119"/>
      <c r="N119"/>
      <c r="O119" s="794"/>
      <c r="U119" s="97"/>
      <c r="AB119" s="97"/>
      <c r="AC119" s="97"/>
      <c r="AD119" s="97"/>
      <c r="AE119" s="97"/>
      <c r="BF119" s="119"/>
      <c r="BG119" s="119"/>
      <c r="BH119" s="119"/>
      <c r="BN119" s="69"/>
      <c r="BO119" s="863"/>
      <c r="BP119" s="79">
        <v>7</v>
      </c>
      <c r="BQ119" s="100" t="b">
        <f>IF(BW83=7,1)</f>
        <v>0</v>
      </c>
      <c r="BR119" s="101"/>
      <c r="BS119" s="102"/>
      <c r="BT119" s="102"/>
      <c r="BU119" s="102"/>
      <c r="BV119" s="102"/>
      <c r="BW119" s="102"/>
      <c r="BX119" s="102"/>
      <c r="BY119" s="102"/>
      <c r="BZ119" s="102"/>
      <c r="CA119" s="101"/>
      <c r="CB119" s="101"/>
      <c r="CC119" s="86" t="b">
        <f>IF(BW83=7,13)</f>
        <v>0</v>
      </c>
      <c r="CD119" s="60"/>
      <c r="CE119" s="60"/>
      <c r="CF119" s="60"/>
      <c r="CG119" s="60"/>
      <c r="CH119" s="141"/>
      <c r="CI119" s="60"/>
      <c r="CJ119" s="140"/>
      <c r="CK119" s="60"/>
      <c r="CL119" s="60"/>
      <c r="CM119" s="60"/>
      <c r="CN119" s="60"/>
      <c r="CO119" s="62"/>
      <c r="CP119" s="62"/>
      <c r="CQ119" s="62"/>
      <c r="CR119" s="62"/>
      <c r="CS119" s="62"/>
      <c r="CT119" s="62"/>
      <c r="CU119" s="62"/>
      <c r="CV119" s="62"/>
      <c r="CW119" s="62"/>
      <c r="CX119" s="62"/>
      <c r="CY119" s="62"/>
      <c r="CZ119" s="62"/>
      <c r="DA119" s="62"/>
      <c r="DB119" s="62"/>
      <c r="DC119" s="62"/>
      <c r="DD119" s="62"/>
      <c r="EJ119" s="62"/>
      <c r="EK119" s="62"/>
    </row>
    <row r="120" spans="2:141" ht="21" hidden="1" thickBot="1" x14ac:dyDescent="0.25">
      <c r="C120" s="97"/>
      <c r="G120" s="797"/>
      <c r="H120"/>
      <c r="I120"/>
      <c r="J120"/>
      <c r="K120"/>
      <c r="L120"/>
      <c r="M120"/>
      <c r="N120"/>
      <c r="O120" s="794"/>
      <c r="U120" s="97"/>
      <c r="AB120" s="97"/>
      <c r="AC120" s="97"/>
      <c r="AD120" s="97"/>
      <c r="AE120" s="97"/>
      <c r="BF120" s="119"/>
      <c r="BG120" s="119"/>
      <c r="BH120" s="119"/>
      <c r="BN120" s="69"/>
      <c r="BO120" s="863"/>
      <c r="BP120" s="79">
        <v>6</v>
      </c>
      <c r="BQ120" s="103" t="b">
        <f>IF(BV83=6,1)</f>
        <v>0</v>
      </c>
      <c r="BR120" s="106"/>
      <c r="BS120" s="106"/>
      <c r="BT120" s="106"/>
      <c r="BU120" s="106"/>
      <c r="BV120" s="106"/>
      <c r="BW120" s="106"/>
      <c r="BX120" s="106"/>
      <c r="BY120" s="106"/>
      <c r="BZ120" s="106"/>
      <c r="CA120" s="107" t="b">
        <f>IF(BV83=6,11)</f>
        <v>0</v>
      </c>
      <c r="CB120" s="60"/>
      <c r="CC120" s="60"/>
      <c r="CD120" s="60"/>
      <c r="CE120" s="60"/>
      <c r="CF120" s="60"/>
      <c r="CG120" s="60"/>
      <c r="CH120" s="141"/>
      <c r="CI120" s="60"/>
      <c r="CJ120" s="140"/>
      <c r="CK120" s="60"/>
      <c r="CL120" s="60"/>
      <c r="CM120" s="60"/>
      <c r="CN120" s="60"/>
      <c r="CO120" s="62"/>
      <c r="CP120" s="62"/>
      <c r="CQ120" s="62"/>
      <c r="CR120" s="62"/>
      <c r="CS120" s="62"/>
      <c r="CT120" s="62"/>
      <c r="CU120" s="62"/>
      <c r="CV120" s="62"/>
      <c r="CW120" s="62"/>
      <c r="CX120" s="62"/>
      <c r="CY120" s="62"/>
      <c r="CZ120" s="62"/>
      <c r="DA120" s="62"/>
      <c r="DB120" s="62"/>
      <c r="DC120" s="62"/>
      <c r="DD120" s="62"/>
      <c r="EJ120" s="62"/>
      <c r="EK120" s="62"/>
    </row>
    <row r="121" spans="2:141" ht="21" hidden="1" thickBot="1" x14ac:dyDescent="0.25">
      <c r="B121" s="309"/>
      <c r="C121" s="309"/>
      <c r="D121" s="310"/>
      <c r="E121" s="310"/>
      <c r="F121" s="310"/>
      <c r="G121" s="797"/>
      <c r="H121"/>
      <c r="I121"/>
      <c r="J121"/>
      <c r="K121"/>
      <c r="L121"/>
      <c r="M121"/>
      <c r="N121"/>
      <c r="O121" s="794"/>
      <c r="BE121" s="119"/>
      <c r="BF121" s="119"/>
      <c r="BG121" s="119"/>
      <c r="BH121" s="119"/>
      <c r="BN121" s="69"/>
      <c r="BO121" s="863"/>
      <c r="BP121" s="79">
        <v>5</v>
      </c>
      <c r="BQ121" s="103" t="b">
        <f>IF(BU83=5,1)</f>
        <v>0</v>
      </c>
      <c r="BR121" s="105"/>
      <c r="BS121" s="106"/>
      <c r="BT121" s="106"/>
      <c r="BU121" s="106"/>
      <c r="BV121" s="106"/>
      <c r="BW121" s="106"/>
      <c r="BX121" s="105"/>
      <c r="BY121" s="107" t="b">
        <f>IF(BU83=5,9)</f>
        <v>0</v>
      </c>
      <c r="BZ121" s="60"/>
      <c r="CA121" s="60"/>
      <c r="CB121" s="60"/>
      <c r="CC121" s="60"/>
      <c r="CD121" s="60"/>
      <c r="CE121" s="60"/>
      <c r="CF121" s="60"/>
      <c r="CG121" s="60"/>
      <c r="CH121" s="141"/>
      <c r="CI121" s="60"/>
      <c r="CJ121" s="140"/>
      <c r="CK121" s="60"/>
      <c r="CL121" s="60"/>
      <c r="CM121" s="60"/>
      <c r="CN121" s="60"/>
      <c r="CO121" s="62"/>
      <c r="CP121" s="62"/>
      <c r="CQ121" s="62"/>
      <c r="CR121" s="62"/>
      <c r="CS121" s="62"/>
      <c r="CT121" s="62"/>
      <c r="CU121" s="62"/>
      <c r="CV121" s="62"/>
      <c r="CW121" s="62"/>
      <c r="CX121" s="62"/>
      <c r="CY121" s="62"/>
      <c r="CZ121" s="62"/>
      <c r="DA121" s="62"/>
      <c r="DB121" s="62"/>
      <c r="DC121" s="62"/>
      <c r="DD121" s="62"/>
      <c r="EJ121" s="62"/>
      <c r="EK121" s="62"/>
    </row>
    <row r="122" spans="2:141" ht="21" hidden="1" thickBot="1" x14ac:dyDescent="0.25">
      <c r="G122" s="797"/>
      <c r="H122"/>
      <c r="I122"/>
      <c r="J122"/>
      <c r="K122"/>
      <c r="L122"/>
      <c r="M122"/>
      <c r="N122"/>
      <c r="O122" s="794"/>
      <c r="BF122" s="119"/>
      <c r="BG122" s="119"/>
      <c r="BH122" s="119"/>
      <c r="BN122" s="69"/>
      <c r="BO122" s="863"/>
      <c r="BP122" s="79">
        <v>4</v>
      </c>
      <c r="BQ122" s="103" t="b">
        <f>IF(BT83=4,1)</f>
        <v>0</v>
      </c>
      <c r="BR122" s="106"/>
      <c r="BS122" s="106"/>
      <c r="BT122" s="106"/>
      <c r="BU122" s="106"/>
      <c r="BV122" s="106"/>
      <c r="BW122" s="107" t="b">
        <f>IF(BT83=4,7)</f>
        <v>0</v>
      </c>
      <c r="BX122" s="60"/>
      <c r="BY122" s="142"/>
      <c r="BZ122" s="142"/>
      <c r="CA122" s="60"/>
      <c r="CB122" s="142"/>
      <c r="CC122" s="60"/>
      <c r="CD122" s="60"/>
      <c r="CE122" s="60"/>
      <c r="CF122" s="60"/>
      <c r="CG122" s="60"/>
      <c r="CH122" s="141"/>
      <c r="CI122" s="60"/>
      <c r="CJ122" s="140"/>
      <c r="CK122" s="60"/>
      <c r="CL122" s="60"/>
      <c r="CM122" s="60"/>
      <c r="CN122" s="60"/>
      <c r="CO122" s="62"/>
      <c r="CP122" s="62"/>
      <c r="CQ122" s="62"/>
      <c r="CR122" s="62"/>
      <c r="CS122" s="62"/>
      <c r="CT122" s="62"/>
      <c r="CU122" s="62"/>
      <c r="CV122" s="62"/>
      <c r="CW122" s="62"/>
      <c r="CX122" s="62"/>
      <c r="CY122" s="62"/>
      <c r="CZ122" s="62"/>
      <c r="DA122" s="62"/>
      <c r="DB122" s="62"/>
      <c r="DC122" s="62"/>
      <c r="DD122" s="62"/>
      <c r="EJ122" s="62"/>
      <c r="EK122" s="62"/>
    </row>
    <row r="123" spans="2:141" ht="21" hidden="1" thickBot="1" x14ac:dyDescent="0.25">
      <c r="B123"/>
      <c r="G123" s="797"/>
      <c r="H123"/>
      <c r="I123"/>
      <c r="J123"/>
      <c r="K123"/>
      <c r="L123"/>
      <c r="M123"/>
      <c r="N123"/>
      <c r="O123" s="794"/>
      <c r="BE123" s="119"/>
      <c r="BF123" s="119"/>
      <c r="BG123" s="119"/>
      <c r="BH123" s="119"/>
      <c r="BN123" s="69"/>
      <c r="BO123" s="863"/>
      <c r="BP123" s="79">
        <v>3</v>
      </c>
      <c r="BQ123" s="103" t="b">
        <f>IF(BS83=3,1)</f>
        <v>0</v>
      </c>
      <c r="BR123" s="106"/>
      <c r="BS123" s="106"/>
      <c r="BT123" s="106"/>
      <c r="BU123" s="107" t="b">
        <f>IF(BS83=3,5)</f>
        <v>0</v>
      </c>
      <c r="BV123" s="60"/>
      <c r="BW123" s="60"/>
      <c r="BX123" s="60"/>
      <c r="BY123" s="60"/>
      <c r="BZ123" s="60"/>
      <c r="CA123" s="60"/>
      <c r="CB123" s="60"/>
      <c r="CC123" s="60"/>
      <c r="CD123" s="60"/>
      <c r="CE123" s="60"/>
      <c r="CF123" s="60"/>
      <c r="CG123" s="60"/>
      <c r="CH123" s="141"/>
      <c r="CI123" s="60"/>
      <c r="CJ123" s="140"/>
      <c r="CK123" s="60"/>
      <c r="CL123" s="60"/>
      <c r="CM123" s="60"/>
      <c r="CN123" s="60"/>
      <c r="CO123" s="62"/>
      <c r="CP123" s="62"/>
      <c r="CQ123" s="62"/>
      <c r="CR123" s="62"/>
      <c r="CS123" s="62"/>
      <c r="CT123" s="62"/>
      <c r="CU123" s="62"/>
      <c r="CV123" s="62"/>
      <c r="CW123" s="62"/>
      <c r="CX123" s="62"/>
      <c r="CY123" s="62"/>
      <c r="CZ123" s="62"/>
      <c r="DA123" s="62"/>
      <c r="DB123" s="62"/>
      <c r="DC123" s="62"/>
      <c r="DD123" s="62"/>
      <c r="EJ123" s="62"/>
      <c r="EK123" s="62"/>
    </row>
    <row r="124" spans="2:141" ht="63" hidden="1" x14ac:dyDescent="0.2">
      <c r="B124" s="309"/>
      <c r="C124" s="309"/>
      <c r="D124" s="310"/>
      <c r="E124" s="310"/>
      <c r="F124" s="310"/>
      <c r="G124" s="797"/>
      <c r="H124"/>
      <c r="I124" s="808" t="s">
        <v>192</v>
      </c>
      <c r="J124" s="808" t="s">
        <v>191</v>
      </c>
      <c r="K124" s="774" t="s">
        <v>193</v>
      </c>
      <c r="L124" s="775" t="s">
        <v>194</v>
      </c>
      <c r="M124" s="784" t="s">
        <v>198</v>
      </c>
      <c r="N124"/>
      <c r="O124" s="794"/>
      <c r="BE124" s="119"/>
      <c r="BF124" s="119"/>
      <c r="BG124" s="119"/>
      <c r="BH124" s="119"/>
      <c r="BN124" s="69"/>
      <c r="BO124" s="863"/>
      <c r="BP124" s="79">
        <v>2</v>
      </c>
      <c r="BQ124" s="143" t="b">
        <f>IF(BR83=2,1)</f>
        <v>0</v>
      </c>
      <c r="BR124" s="144"/>
      <c r="BS124" s="145" t="b">
        <f>IF(BR83=2,3)</f>
        <v>0</v>
      </c>
      <c r="BT124" s="60"/>
      <c r="BU124" s="60"/>
      <c r="BV124" s="60"/>
      <c r="BW124" s="60"/>
      <c r="BX124" s="60"/>
      <c r="BY124" s="60"/>
      <c r="BZ124" s="60"/>
      <c r="CA124" s="60"/>
      <c r="CB124" s="60"/>
      <c r="CC124" s="60"/>
      <c r="CD124" s="60"/>
      <c r="CE124" s="60"/>
      <c r="CF124" s="60"/>
      <c r="CG124" s="60"/>
      <c r="CH124" s="141"/>
      <c r="CI124" s="60"/>
      <c r="CJ124" s="140"/>
      <c r="CK124" s="60"/>
      <c r="CL124" s="60"/>
      <c r="CM124" s="60"/>
      <c r="CN124" s="60"/>
      <c r="CO124" s="62"/>
      <c r="CP124" s="62"/>
      <c r="CQ124" s="62"/>
      <c r="CR124" s="62"/>
      <c r="CS124" s="62"/>
      <c r="CT124" s="62"/>
      <c r="CU124" s="62"/>
      <c r="CV124" s="62"/>
      <c r="CW124" s="62"/>
      <c r="CX124" s="62"/>
      <c r="CY124" s="62"/>
      <c r="CZ124" s="62"/>
      <c r="DA124" s="62"/>
      <c r="DB124" s="62"/>
      <c r="DC124" s="62"/>
      <c r="DD124" s="62"/>
      <c r="EJ124" s="62"/>
      <c r="EK124" s="62"/>
    </row>
    <row r="125" spans="2:141" ht="64" hidden="1" thickBot="1" x14ac:dyDescent="0.25">
      <c r="B125" s="309"/>
      <c r="C125" s="309"/>
      <c r="D125" s="310"/>
      <c r="E125" s="310"/>
      <c r="F125" s="310"/>
      <c r="G125" s="797"/>
      <c r="H125"/>
      <c r="I125" s="768" t="s">
        <v>185</v>
      </c>
      <c r="J125" s="773" t="s">
        <v>184</v>
      </c>
      <c r="K125" s="772" t="s">
        <v>112</v>
      </c>
      <c r="L125" s="776" t="s">
        <v>112</v>
      </c>
      <c r="M125" s="785" t="s">
        <v>112</v>
      </c>
      <c r="N125"/>
      <c r="O125" s="794"/>
      <c r="BE125" s="119"/>
      <c r="BF125" s="119"/>
      <c r="BG125" s="119"/>
      <c r="BH125" s="119"/>
      <c r="BN125" s="69"/>
      <c r="BO125" s="863"/>
      <c r="BP125" s="146"/>
      <c r="BQ125" s="147">
        <f>SUM(BQ90:BQ124)</f>
        <v>0</v>
      </c>
      <c r="BR125" s="147">
        <f t="shared" ref="BR125:DA125" si="3">SUM(BR90:BR124)</f>
        <v>0</v>
      </c>
      <c r="BS125" s="147">
        <f t="shared" si="3"/>
        <v>0</v>
      </c>
      <c r="BT125" s="147">
        <f t="shared" si="3"/>
        <v>0</v>
      </c>
      <c r="BU125" s="147">
        <f t="shared" si="3"/>
        <v>0</v>
      </c>
      <c r="BV125" s="147">
        <f t="shared" si="3"/>
        <v>0</v>
      </c>
      <c r="BW125" s="147">
        <f t="shared" si="3"/>
        <v>0</v>
      </c>
      <c r="BX125" s="147">
        <f t="shared" si="3"/>
        <v>0</v>
      </c>
      <c r="BY125" s="147">
        <f t="shared" si="3"/>
        <v>0</v>
      </c>
      <c r="BZ125" s="147">
        <f t="shared" si="3"/>
        <v>10</v>
      </c>
      <c r="CA125" s="147">
        <f t="shared" si="3"/>
        <v>0</v>
      </c>
      <c r="CB125" s="147">
        <f t="shared" si="3"/>
        <v>0</v>
      </c>
      <c r="CC125" s="147">
        <f t="shared" si="3"/>
        <v>0</v>
      </c>
      <c r="CD125" s="147">
        <f t="shared" si="3"/>
        <v>0</v>
      </c>
      <c r="CE125" s="147">
        <f t="shared" si="3"/>
        <v>0</v>
      </c>
      <c r="CF125" s="147">
        <f t="shared" si="3"/>
        <v>0</v>
      </c>
      <c r="CG125" s="148">
        <f t="shared" si="3"/>
        <v>0</v>
      </c>
      <c r="CH125" s="149"/>
      <c r="CI125" s="150"/>
      <c r="CJ125" s="151"/>
      <c r="CK125" s="152">
        <f t="shared" si="3"/>
        <v>0</v>
      </c>
      <c r="CL125" s="147">
        <f t="shared" si="3"/>
        <v>0</v>
      </c>
      <c r="CM125" s="147">
        <f t="shared" si="3"/>
        <v>0</v>
      </c>
      <c r="CN125" s="147">
        <f t="shared" si="3"/>
        <v>0</v>
      </c>
      <c r="CO125" s="147">
        <f t="shared" si="3"/>
        <v>0</v>
      </c>
      <c r="CP125" s="147">
        <f t="shared" si="3"/>
        <v>26</v>
      </c>
      <c r="CQ125" s="147">
        <f t="shared" si="3"/>
        <v>0</v>
      </c>
      <c r="CR125" s="147">
        <f t="shared" si="3"/>
        <v>0</v>
      </c>
      <c r="CS125" s="147">
        <f t="shared" si="3"/>
        <v>0</v>
      </c>
      <c r="CT125" s="147">
        <f t="shared" si="3"/>
        <v>0</v>
      </c>
      <c r="CU125" s="147">
        <f t="shared" si="3"/>
        <v>0</v>
      </c>
      <c r="CV125" s="147">
        <f t="shared" si="3"/>
        <v>0</v>
      </c>
      <c r="CW125" s="147">
        <f t="shared" si="3"/>
        <v>0</v>
      </c>
      <c r="CX125" s="147">
        <f t="shared" si="3"/>
        <v>0</v>
      </c>
      <c r="CY125" s="147">
        <f t="shared" si="3"/>
        <v>0</v>
      </c>
      <c r="CZ125" s="147">
        <f t="shared" si="3"/>
        <v>0</v>
      </c>
      <c r="DA125" s="147">
        <f t="shared" si="3"/>
        <v>0</v>
      </c>
      <c r="DB125" s="62"/>
      <c r="DC125" s="62"/>
      <c r="DD125" s="62"/>
      <c r="EJ125" s="62"/>
      <c r="EK125" s="62"/>
    </row>
    <row r="126" spans="2:141" ht="153.75" customHeight="1" thickBot="1" x14ac:dyDescent="0.3">
      <c r="G126" s="797"/>
      <c r="H126" s="861" t="s">
        <v>210</v>
      </c>
      <c r="I126" s="854">
        <f>+MIN(K31:L32)</f>
        <v>74.147823890421549</v>
      </c>
      <c r="J126" s="854">
        <f>+MIN(J37:K38)</f>
        <v>94.398153635384929</v>
      </c>
      <c r="K126" s="856">
        <f>+MIN(J43:L44)</f>
        <v>103.35917312661498</v>
      </c>
      <c r="L126" s="857">
        <f>+MIN(J49:L50)</f>
        <v>44.722719141323793</v>
      </c>
      <c r="M126" s="858">
        <f>+MIN(J55:L56)</f>
        <v>103.35917312661498</v>
      </c>
      <c r="N126"/>
      <c r="O126" s="794"/>
      <c r="BN126" s="69"/>
      <c r="BO126" s="863"/>
      <c r="BP126" s="146"/>
      <c r="BQ126" s="153"/>
      <c r="BR126" s="153"/>
      <c r="BS126" s="153"/>
      <c r="BT126" s="153"/>
      <c r="BU126" s="153"/>
      <c r="BV126" s="153"/>
      <c r="BW126" s="153"/>
      <c r="BX126" s="153"/>
      <c r="BY126" s="153"/>
      <c r="BZ126" s="153"/>
      <c r="CA126" s="153"/>
      <c r="CB126" s="153"/>
      <c r="CC126" s="153"/>
      <c r="CD126" s="153"/>
      <c r="CE126" s="153"/>
      <c r="CF126" s="153"/>
      <c r="CG126" s="153"/>
      <c r="CH126" s="153"/>
      <c r="CI126" s="153"/>
      <c r="CJ126" s="153"/>
      <c r="CK126" s="154"/>
      <c r="CL126" s="153"/>
      <c r="CM126" s="153"/>
      <c r="CN126" s="153"/>
      <c r="CO126" s="153"/>
      <c r="CP126" s="153"/>
      <c r="CQ126" s="153"/>
      <c r="CR126" s="153"/>
      <c r="CS126" s="153"/>
      <c r="CT126" s="153"/>
      <c r="CU126" s="153"/>
      <c r="CV126" s="153"/>
      <c r="CW126" s="153"/>
      <c r="CX126" s="153"/>
      <c r="CY126" s="153"/>
      <c r="CZ126" s="153"/>
      <c r="DA126" s="153"/>
      <c r="DB126" s="62"/>
      <c r="DC126" s="62"/>
      <c r="DD126" s="62"/>
      <c r="EJ126" s="62"/>
      <c r="EK126" s="62"/>
    </row>
    <row r="127" spans="2:141" ht="44" thickBot="1" x14ac:dyDescent="0.3">
      <c r="G127" s="810"/>
      <c r="H127" s="114"/>
      <c r="I127" s="114"/>
      <c r="J127" s="114"/>
      <c r="K127" s="114"/>
      <c r="L127" s="114"/>
      <c r="M127" s="114"/>
      <c r="N127" s="114"/>
      <c r="O127" s="811"/>
      <c r="BN127" s="69"/>
      <c r="BO127" s="866" t="s">
        <v>112</v>
      </c>
      <c r="BP127" s="155" t="s">
        <v>109</v>
      </c>
      <c r="BQ127" s="593" t="str">
        <f>IF(BQ125=1,17,"")</f>
        <v/>
      </c>
      <c r="BR127" s="594" t="str">
        <f>IF(BR125=2,16,"")</f>
        <v/>
      </c>
      <c r="BS127" s="594" t="str">
        <f>IF(BS125=3,15,"")</f>
        <v/>
      </c>
      <c r="BT127" s="594" t="str">
        <f>IF(BT125=4,14,"")</f>
        <v/>
      </c>
      <c r="BU127" s="594" t="str">
        <f>IF(BU125=5,13,"")</f>
        <v/>
      </c>
      <c r="BV127" s="594" t="str">
        <f>IF(BV125=6,12,"")</f>
        <v/>
      </c>
      <c r="BW127" s="594" t="str">
        <f>IF(BW125=7,11,"")</f>
        <v/>
      </c>
      <c r="BX127" s="594" t="str">
        <f>IF(BX125=8,10,"")</f>
        <v/>
      </c>
      <c r="BY127" s="594" t="str">
        <f>IF(BY125=9,9,"")</f>
        <v/>
      </c>
      <c r="BZ127" s="594">
        <f>IF(BZ125=10,8,"")</f>
        <v>8</v>
      </c>
      <c r="CA127" s="594" t="str">
        <f>IF(CA125=11,7,"")</f>
        <v/>
      </c>
      <c r="CB127" s="595" t="str">
        <f>IF(CB125=12,"6  ADS ","")</f>
        <v/>
      </c>
      <c r="CC127" s="594" t="str">
        <f>IF(CC125=13,5,"")</f>
        <v/>
      </c>
      <c r="CD127" s="594" t="str">
        <f>IF(CD125=14,4,"")</f>
        <v/>
      </c>
      <c r="CE127" s="594" t="str">
        <f>IF(CE125=15,3,"")</f>
        <v/>
      </c>
      <c r="CF127" s="594" t="str">
        <f>IF(CF125=16,2,"")</f>
        <v/>
      </c>
      <c r="CG127" s="594" t="str">
        <f>IF(CG125=17,1,"")</f>
        <v/>
      </c>
      <c r="CH127" s="156"/>
      <c r="CI127" s="157"/>
      <c r="CJ127" s="158"/>
      <c r="CK127" s="596" t="str">
        <f>IF(CK125=21,1,"")</f>
        <v/>
      </c>
      <c r="CL127" s="596" t="str">
        <f>IF(CL125=22,2,"")</f>
        <v/>
      </c>
      <c r="CM127" s="596" t="str">
        <f>IF(CM125=23,3,"")</f>
        <v/>
      </c>
      <c r="CN127" s="596" t="str">
        <f>IF(CN125=24,4,"")</f>
        <v/>
      </c>
      <c r="CO127" s="596" t="str">
        <f>IF(CO125=25,5,"")</f>
        <v/>
      </c>
      <c r="CP127" s="718" t="str">
        <f>IF(CP125=26,"6  ADS ","")</f>
        <v xml:space="preserve">6  ADS </v>
      </c>
      <c r="CQ127" s="596" t="str">
        <f>IF(CQ125=27,7,"")</f>
        <v/>
      </c>
      <c r="CR127" s="596" t="str">
        <f>IF(CR125=28,8,"")</f>
        <v/>
      </c>
      <c r="CS127" s="596" t="str">
        <f>IF(CS125=29,9,"")</f>
        <v/>
      </c>
      <c r="CT127" s="596" t="str">
        <f>IF(CT125=30,10,"")</f>
        <v/>
      </c>
      <c r="CU127" s="596" t="str">
        <f>IF(CU125=31,11,"")</f>
        <v/>
      </c>
      <c r="CV127" s="596" t="str">
        <f>IF(CV125=32,12,"")</f>
        <v/>
      </c>
      <c r="CW127" s="596" t="str">
        <f>IF(CW125=33,13,"")</f>
        <v/>
      </c>
      <c r="CX127" s="596" t="str">
        <f>IF(CX125=34,14,"")</f>
        <v/>
      </c>
      <c r="CY127" s="596" t="str">
        <f>IF(CY125=35,15,"")</f>
        <v/>
      </c>
      <c r="CZ127" s="596" t="str">
        <f>IF(CZ125=36,16,"")</f>
        <v/>
      </c>
      <c r="DA127" s="598" t="str">
        <f>IF(DA125=37,17,"")</f>
        <v/>
      </c>
      <c r="DB127" s="281"/>
      <c r="DC127" s="62"/>
      <c r="DD127" s="62"/>
      <c r="EJ127" s="62"/>
      <c r="EK127" s="62"/>
    </row>
    <row r="128" spans="2:141" ht="31" thickBot="1" x14ac:dyDescent="0.3">
      <c r="G128" s="797"/>
      <c r="H128" s="184"/>
      <c r="I128" s="184"/>
      <c r="J128" s="184"/>
      <c r="K128" s="184"/>
      <c r="L128" s="184"/>
      <c r="M128" s="184"/>
      <c r="N128" s="184"/>
      <c r="O128" s="812"/>
      <c r="BL128" s="767">
        <v>6</v>
      </c>
      <c r="BM128" s="1055" t="b">
        <f>AND(BO128&gt;=10,$AZ$138&gt;=10,$BA$138&gt;=10,$AZ$159&gt;=10,$BA$159&gt;=10)</f>
        <v>1</v>
      </c>
      <c r="BN128" s="67" t="str">
        <f>IF(BM128=TRUE,"O K","OVERLOAD")</f>
        <v>O K</v>
      </c>
      <c r="BO128" s="781">
        <f>SUM(I132:M132)</f>
        <v>103.35917312661498</v>
      </c>
      <c r="BP128" s="631" t="s">
        <v>139</v>
      </c>
      <c r="BQ128" s="632">
        <v>-10</v>
      </c>
      <c r="BR128" s="632">
        <v>-9</v>
      </c>
      <c r="BS128" s="632">
        <v>-8</v>
      </c>
      <c r="BT128" s="632">
        <v>-7</v>
      </c>
      <c r="BU128" s="632">
        <v>-6</v>
      </c>
      <c r="BV128" s="632">
        <v>-5</v>
      </c>
      <c r="BW128" s="632">
        <v>-4</v>
      </c>
      <c r="BX128" s="632">
        <v>-3</v>
      </c>
      <c r="BY128" s="632">
        <v>-2</v>
      </c>
      <c r="BZ128" s="632">
        <v>-1</v>
      </c>
      <c r="CA128" s="632">
        <v>0</v>
      </c>
      <c r="CB128" s="632">
        <v>1</v>
      </c>
      <c r="CC128" s="632">
        <v>2</v>
      </c>
      <c r="CD128" s="632">
        <v>3</v>
      </c>
      <c r="CE128" s="632">
        <v>4</v>
      </c>
      <c r="CF128" s="632">
        <v>5</v>
      </c>
      <c r="CG128" s="632">
        <v>6</v>
      </c>
      <c r="CH128" s="632">
        <v>7</v>
      </c>
      <c r="CI128" s="632">
        <v>8</v>
      </c>
      <c r="CJ128" s="632">
        <v>9</v>
      </c>
      <c r="CK128" s="632">
        <v>10</v>
      </c>
      <c r="CL128" s="632">
        <v>11</v>
      </c>
      <c r="CM128" s="632">
        <v>12</v>
      </c>
      <c r="CN128" s="632">
        <v>13</v>
      </c>
      <c r="CO128" s="632">
        <v>14</v>
      </c>
      <c r="CP128" s="632">
        <v>15</v>
      </c>
      <c r="CQ128" s="632">
        <v>16</v>
      </c>
      <c r="CR128" s="632">
        <v>17</v>
      </c>
      <c r="CS128" s="632">
        <v>18</v>
      </c>
      <c r="CT128" s="632">
        <v>19</v>
      </c>
      <c r="CU128" s="632">
        <v>20</v>
      </c>
      <c r="CV128" s="632">
        <v>21</v>
      </c>
      <c r="CW128" s="632">
        <v>22</v>
      </c>
      <c r="CX128" s="632">
        <v>23</v>
      </c>
      <c r="CY128" s="632">
        <v>24</v>
      </c>
      <c r="CZ128" s="632">
        <v>25</v>
      </c>
      <c r="DA128" s="634">
        <v>26</v>
      </c>
      <c r="DB128" s="62"/>
      <c r="DC128" s="62"/>
      <c r="DD128" s="62"/>
      <c r="EJ128" s="62"/>
      <c r="EK128" s="62"/>
    </row>
    <row r="129" spans="2:108" ht="51" customHeight="1" thickBot="1" x14ac:dyDescent="0.25">
      <c r="B129" s="311"/>
      <c r="D129" s="312" t="str">
        <f>IF(BL131&gt;0," ","change the angle of frame or of cabinets")</f>
        <v xml:space="preserve"> </v>
      </c>
      <c r="E129" s="191"/>
      <c r="F129" s="191"/>
      <c r="G129" s="797"/>
      <c r="H129"/>
      <c r="I129"/>
      <c r="J129"/>
      <c r="K129"/>
      <c r="L129"/>
      <c r="M129"/>
      <c r="N129"/>
      <c r="O129" s="794"/>
      <c r="BE129" s="119"/>
      <c r="BF129" s="119"/>
      <c r="BG129" s="119"/>
      <c r="BH129" s="119"/>
      <c r="BM129" s="305"/>
      <c r="BN129" s="119"/>
      <c r="BO129" s="863"/>
      <c r="BP129" s="62"/>
      <c r="BQ129" s="182"/>
      <c r="BR129" s="182"/>
      <c r="BS129" s="182"/>
      <c r="BT129" s="182"/>
      <c r="BU129" s="182"/>
      <c r="BV129" s="182"/>
      <c r="BW129" s="182"/>
      <c r="BX129" s="182"/>
      <c r="BY129" s="182"/>
      <c r="BZ129" s="182"/>
      <c r="CA129" s="182"/>
      <c r="CB129" s="182"/>
      <c r="CC129" s="182"/>
      <c r="CD129" s="182"/>
      <c r="CE129" s="182"/>
      <c r="CF129" s="182"/>
      <c r="CG129" s="182"/>
      <c r="CH129" s="182"/>
      <c r="CI129" s="182"/>
      <c r="CJ129" s="182"/>
      <c r="CK129" s="182"/>
      <c r="CL129" s="182"/>
      <c r="CM129" s="182"/>
      <c r="CN129" s="182"/>
      <c r="CO129" s="182"/>
      <c r="CP129" s="182"/>
      <c r="CQ129" s="182"/>
      <c r="CR129" s="182"/>
      <c r="CS129" s="182"/>
      <c r="CT129" s="182"/>
      <c r="CU129" s="182"/>
      <c r="CV129" s="182"/>
      <c r="CW129" s="182"/>
      <c r="CX129" s="182"/>
      <c r="CY129" s="182"/>
      <c r="CZ129" s="182"/>
      <c r="DA129" s="182"/>
      <c r="DB129" s="182"/>
    </row>
    <row r="130" spans="2:108" ht="51" customHeight="1" thickBot="1" x14ac:dyDescent="0.3">
      <c r="B130" s="1113" t="s">
        <v>105</v>
      </c>
      <c r="D130" s="312" t="str">
        <f>IF(DD133&lt;0," ","change the angle of frame or of cabinets")</f>
        <v xml:space="preserve"> </v>
      </c>
      <c r="E130" s="191"/>
      <c r="F130" s="191"/>
      <c r="G130" s="797"/>
      <c r="H130"/>
      <c r="I130" s="843" t="s">
        <v>208</v>
      </c>
      <c r="J130" s="843" t="s">
        <v>207</v>
      </c>
      <c r="K130"/>
      <c r="L130"/>
      <c r="M130"/>
      <c r="N130"/>
      <c r="O130" s="794"/>
      <c r="V130" s="313"/>
      <c r="W130" s="313"/>
      <c r="X130" s="313"/>
      <c r="Y130" s="313"/>
      <c r="Z130" s="313"/>
      <c r="AA130" s="313"/>
      <c r="AF130" s="304"/>
      <c r="AG130" s="304"/>
      <c r="AH130" s="304"/>
      <c r="AI130" s="304"/>
      <c r="AJ130" s="304"/>
      <c r="AK130" s="304"/>
      <c r="AL130" s="304"/>
      <c r="AM130" s="304"/>
      <c r="AN130" s="304"/>
      <c r="AO130" s="304"/>
      <c r="AP130" s="304"/>
      <c r="AQ130" s="304"/>
      <c r="AR130" s="304"/>
      <c r="AS130" s="304"/>
      <c r="AT130" s="304"/>
      <c r="AU130" s="304"/>
      <c r="AV130" s="304"/>
      <c r="AW130" s="304"/>
      <c r="AX130" s="304"/>
      <c r="AY130" s="304"/>
      <c r="AZ130" s="304"/>
      <c r="BA130" s="304"/>
      <c r="BB130" s="126"/>
      <c r="BE130" s="119"/>
      <c r="BF130" s="119"/>
      <c r="BG130" s="119"/>
      <c r="BH130" s="119"/>
      <c r="BL130" s="187" t="s">
        <v>53</v>
      </c>
      <c r="BM130" s="305"/>
      <c r="BN130" s="119"/>
      <c r="BO130" s="863"/>
      <c r="BP130" s="60"/>
      <c r="BQ130" s="60"/>
      <c r="BR130" s="60"/>
      <c r="BS130" s="60"/>
      <c r="BT130" s="60"/>
      <c r="BU130" s="60"/>
      <c r="BV130" s="185"/>
      <c r="BW130" s="185"/>
      <c r="BX130" s="185"/>
      <c r="BY130" s="185"/>
      <c r="BZ130" s="185"/>
      <c r="CA130" s="185"/>
      <c r="CB130" s="185"/>
      <c r="CC130" s="185"/>
      <c r="CD130" s="185"/>
      <c r="CE130" s="185"/>
      <c r="CF130" s="185"/>
      <c r="CG130" s="185"/>
      <c r="CH130" s="185"/>
      <c r="CI130" s="185"/>
      <c r="CJ130" s="62"/>
      <c r="CK130" s="62"/>
      <c r="CL130" s="62"/>
      <c r="CM130" s="62"/>
      <c r="CN130" s="62"/>
      <c r="CO130" s="62"/>
      <c r="CP130" s="62"/>
      <c r="CQ130" s="62"/>
      <c r="CR130" s="62"/>
      <c r="CS130" s="62"/>
      <c r="CT130" s="62"/>
      <c r="CU130" s="62"/>
      <c r="CV130" s="62"/>
      <c r="CW130" s="62"/>
      <c r="CX130" s="62"/>
      <c r="CY130" s="62"/>
      <c r="CZ130" s="62"/>
      <c r="DA130" s="62"/>
      <c r="DB130" s="62"/>
      <c r="DC130" s="62"/>
      <c r="DD130" s="62"/>
    </row>
    <row r="131" spans="2:108" ht="51" customHeight="1" thickBot="1" x14ac:dyDescent="0.3">
      <c r="B131" s="1114"/>
      <c r="C131" s="196"/>
      <c r="D131" s="312" t="str">
        <f>IF(BL131&gt;(+COS(($B$132*-1)*3.14159265358979/180)*451.5)," ","USE EXBAR AR AT THE FRONT")</f>
        <v xml:space="preserve"> </v>
      </c>
      <c r="E131" s="191"/>
      <c r="F131" s="191"/>
      <c r="G131" s="813"/>
      <c r="H131" s="192"/>
      <c r="I131" s="859">
        <f>COUNTIF(CK125:DA125,"&gt;0")</f>
        <v>1</v>
      </c>
      <c r="J131" s="859">
        <f>COUNTIF(BQ125:CG125,"&gt;0")</f>
        <v>1</v>
      </c>
      <c r="K131" s="859" t="b">
        <f>AND(IF(SUM(BQ127:CA127)&gt;0,1,0),IF(CP127="6  ADS ",1,0))</f>
        <v>1</v>
      </c>
      <c r="L131" s="859" t="b">
        <f>AND(IF(SUM(CQ127:DA127)&gt;0,1,0),IF(CB127="6  ADS ",1,0))</f>
        <v>0</v>
      </c>
      <c r="M131" s="859" t="b">
        <f>AND(IF(CP127="6  ADS ",1,0),IF(CB127="6  ADS ",1,0))</f>
        <v>0</v>
      </c>
      <c r="N131" s="192"/>
      <c r="O131" s="814"/>
      <c r="BE131" s="119"/>
      <c r="BF131" s="119"/>
      <c r="BG131" s="119"/>
      <c r="BH131" s="119"/>
      <c r="BL131" s="187">
        <f>-+BH189</f>
        <v>737.83568838182032</v>
      </c>
      <c r="BM131" s="305"/>
      <c r="BN131" s="119"/>
      <c r="BO131" s="863"/>
      <c r="BP131" s="109"/>
      <c r="BQ131" s="109"/>
      <c r="BR131" s="109"/>
      <c r="BS131" s="109"/>
      <c r="BT131" s="109"/>
      <c r="BU131" s="109"/>
      <c r="BV131" s="186"/>
      <c r="BW131" s="186"/>
      <c r="BX131" s="186"/>
      <c r="BY131" s="186"/>
      <c r="BZ131" s="186"/>
      <c r="CA131" s="186"/>
      <c r="CB131" s="186"/>
      <c r="CC131" s="186"/>
      <c r="CD131" s="186"/>
      <c r="CE131" s="186"/>
      <c r="CF131" s="186"/>
      <c r="CG131" s="186"/>
      <c r="CH131" s="186"/>
      <c r="CI131" s="186"/>
    </row>
    <row r="132" spans="2:108" ht="51" customHeight="1" thickBot="1" x14ac:dyDescent="0.3">
      <c r="B132" s="2">
        <v>0</v>
      </c>
      <c r="C132" s="196"/>
      <c r="D132" s="282" t="str">
        <f>IF(DD133&lt;-(+COS(($B$132*-1)*3.14159265358979/180)*365.5)," ","USE EXBAR AR AT THE BACK")</f>
        <v xml:space="preserve"> </v>
      </c>
      <c r="E132" s="191"/>
      <c r="F132" s="191"/>
      <c r="G132" s="815"/>
      <c r="H132" s="816"/>
      <c r="I132" s="860">
        <f>IF(I131=2,I126,0)</f>
        <v>0</v>
      </c>
      <c r="J132" s="860">
        <f>IF(J131=2,J126,0)</f>
        <v>0</v>
      </c>
      <c r="K132" s="860">
        <f t="shared" ref="K132:M132" si="4">IF(K131=TRUE,K126,0)</f>
        <v>103.35917312661498</v>
      </c>
      <c r="L132" s="860">
        <f t="shared" si="4"/>
        <v>0</v>
      </c>
      <c r="M132" s="860">
        <f t="shared" si="4"/>
        <v>0</v>
      </c>
      <c r="N132" s="816"/>
      <c r="O132" s="817"/>
      <c r="AK132" s="676" t="s">
        <v>128</v>
      </c>
      <c r="AL132" s="677"/>
      <c r="AM132" s="677"/>
      <c r="AN132" s="677"/>
      <c r="AO132" s="678" t="s">
        <v>132</v>
      </c>
      <c r="BE132" s="119"/>
      <c r="BF132" s="119"/>
      <c r="BG132" s="119"/>
      <c r="BH132" s="119"/>
      <c r="BM132" s="305"/>
      <c r="BN132" s="170"/>
      <c r="BO132" s="863"/>
      <c r="BP132" s="48"/>
      <c r="BS132" s="109"/>
      <c r="BT132" s="109"/>
      <c r="BU132" s="109"/>
      <c r="BV132" s="186"/>
      <c r="BW132" s="186"/>
      <c r="BX132" s="186"/>
      <c r="BY132" s="186"/>
      <c r="BZ132" s="186"/>
      <c r="CA132" s="186"/>
      <c r="CB132" s="186"/>
      <c r="CC132" s="186"/>
      <c r="CD132" s="186"/>
      <c r="CE132" s="186"/>
      <c r="CF132" s="186"/>
      <c r="CG132" s="186"/>
      <c r="CH132" s="186"/>
      <c r="CI132" s="186"/>
      <c r="CR132" s="48"/>
      <c r="DD132" s="187" t="s">
        <v>52</v>
      </c>
    </row>
    <row r="133" spans="2:108" ht="21" customHeight="1" thickBot="1" x14ac:dyDescent="0.3">
      <c r="AK133" s="679" t="s">
        <v>129</v>
      </c>
      <c r="AL133" s="676" t="s">
        <v>130</v>
      </c>
      <c r="AM133" s="676" t="s">
        <v>131</v>
      </c>
      <c r="AN133" s="680" t="s">
        <v>135</v>
      </c>
      <c r="AO133" s="977" t="s">
        <v>133</v>
      </c>
      <c r="BE133" s="119"/>
      <c r="BF133" s="119"/>
      <c r="BG133" s="119"/>
      <c r="BH133" s="119"/>
      <c r="BM133" s="305"/>
      <c r="BN133" s="170"/>
      <c r="BO133" s="863"/>
      <c r="BP133" s="48"/>
      <c r="BS133" s="109"/>
      <c r="BT133" s="109"/>
      <c r="BU133" s="109"/>
      <c r="BV133" s="186"/>
      <c r="BW133" s="186"/>
      <c r="BX133" s="186"/>
      <c r="BY133" s="186"/>
      <c r="BZ133" s="186"/>
      <c r="CA133" s="186"/>
      <c r="CB133" s="186"/>
      <c r="CC133" s="186"/>
      <c r="CD133" s="186"/>
      <c r="CE133" s="186"/>
      <c r="CF133" s="186"/>
      <c r="CG133" s="186"/>
      <c r="CH133" s="186"/>
      <c r="CI133" s="186"/>
      <c r="CP133" s="195"/>
      <c r="CR133" s="48"/>
      <c r="DD133" s="187">
        <f>+-BH225</f>
        <v>-810.16431161817968</v>
      </c>
    </row>
    <row r="134" spans="2:108" ht="71.25" customHeight="1" thickBot="1" x14ac:dyDescent="0.3">
      <c r="B134" s="314" t="s">
        <v>28</v>
      </c>
      <c r="C134" s="315"/>
      <c r="D134" s="26"/>
      <c r="E134" s="26"/>
      <c r="F134" s="26"/>
      <c r="G134" s="26"/>
      <c r="T134" s="170"/>
      <c r="AK134" s="679">
        <v>6.8623010000000004</v>
      </c>
      <c r="AL134" s="676">
        <f>+$B$132-AK134</f>
        <v>-6.8623010000000004</v>
      </c>
      <c r="AM134" s="682">
        <f>COS(AL134*3.14159265358979/180)</f>
        <v>0.99283617366519983</v>
      </c>
      <c r="AN134" s="683">
        <f>+AM134*378.71303</f>
        <v>375.99999562235405</v>
      </c>
      <c r="AO134" s="978">
        <f>+((AO138*AQ138)+(AN134*31))/(AQ138+31)</f>
        <v>312.3357020844233</v>
      </c>
      <c r="BE134" s="119"/>
      <c r="BF134" s="119"/>
      <c r="BG134" s="119"/>
      <c r="BH134" s="119"/>
      <c r="BM134" s="305"/>
      <c r="BN134" s="119"/>
      <c r="BO134" s="863"/>
      <c r="BP134" s="109"/>
      <c r="BQ134" s="109"/>
      <c r="BR134" s="109"/>
      <c r="BS134" s="109"/>
      <c r="BT134" s="109"/>
      <c r="BU134" s="109"/>
      <c r="BV134" s="186"/>
      <c r="BW134" s="186"/>
      <c r="BX134" s="186"/>
      <c r="BY134" s="186"/>
      <c r="BZ134" s="186"/>
      <c r="CA134" s="186"/>
      <c r="CB134" s="186"/>
      <c r="CC134" s="186"/>
      <c r="CD134" s="186"/>
      <c r="CE134" s="186"/>
      <c r="CF134" s="186"/>
      <c r="CG134" s="186"/>
      <c r="CH134" s="186"/>
      <c r="CI134" s="186"/>
    </row>
    <row r="135" spans="2:108" ht="32.25" customHeight="1" thickBot="1" x14ac:dyDescent="0.35">
      <c r="B135" s="18">
        <v>1</v>
      </c>
      <c r="C135" s="199"/>
      <c r="D135" s="316" t="s">
        <v>59</v>
      </c>
      <c r="E135" s="277"/>
      <c r="F135" s="277"/>
      <c r="G135" s="277"/>
      <c r="H135" s="283" t="s">
        <v>76</v>
      </c>
      <c r="I135" s="283" t="s">
        <v>77</v>
      </c>
      <c r="J135" s="283" t="s">
        <v>78</v>
      </c>
      <c r="K135"/>
      <c r="L135"/>
      <c r="M135"/>
      <c r="N135"/>
      <c r="O135"/>
      <c r="P135" s="283" t="s">
        <v>79</v>
      </c>
      <c r="Q135" s="283" t="s">
        <v>80</v>
      </c>
      <c r="R135" s="277"/>
      <c r="S135" s="283" t="s">
        <v>81</v>
      </c>
      <c r="T135" s="317"/>
      <c r="W135" s="1117" t="s">
        <v>82</v>
      </c>
      <c r="X135" s="1117"/>
      <c r="Y135" s="1117"/>
      <c r="Z135" s="1117"/>
      <c r="AA135" s="1117"/>
      <c r="AY135" s="318"/>
      <c r="AZ135" s="1115" t="s">
        <v>46</v>
      </c>
      <c r="BA135" s="1116"/>
      <c r="BE135" s="119"/>
      <c r="BF135" s="119"/>
      <c r="BG135" s="119"/>
      <c r="BH135" s="119"/>
      <c r="BM135" s="197"/>
      <c r="BN135" s="197"/>
      <c r="BO135" s="197"/>
    </row>
    <row r="136" spans="2:108" ht="105" hidden="1" thickBot="1" x14ac:dyDescent="0.35">
      <c r="C136" s="319"/>
      <c r="D136" s="320" t="s">
        <v>13</v>
      </c>
      <c r="H136" s="288" t="s">
        <v>4</v>
      </c>
      <c r="I136" s="288" t="s">
        <v>1</v>
      </c>
      <c r="J136" s="292" t="s">
        <v>65</v>
      </c>
      <c r="K136" s="275" t="s">
        <v>2</v>
      </c>
      <c r="L136" s="275" t="s">
        <v>3</v>
      </c>
      <c r="M136" s="275" t="s">
        <v>8</v>
      </c>
      <c r="N136" s="275" t="s">
        <v>5</v>
      </c>
      <c r="O136" s="275" t="s">
        <v>6</v>
      </c>
      <c r="P136" s="275" t="s">
        <v>7</v>
      </c>
      <c r="Q136" s="275" t="s">
        <v>9</v>
      </c>
      <c r="R136" s="288" t="s">
        <v>10</v>
      </c>
      <c r="S136" s="275" t="s">
        <v>11</v>
      </c>
      <c r="T136" s="321" t="s">
        <v>12</v>
      </c>
      <c r="W136" s="288" t="s">
        <v>86</v>
      </c>
      <c r="X136" s="275" t="s">
        <v>83</v>
      </c>
      <c r="Y136" s="288" t="s">
        <v>87</v>
      </c>
      <c r="Z136" s="322" t="s">
        <v>84</v>
      </c>
      <c r="AA136" s="322" t="s">
        <v>85</v>
      </c>
      <c r="AC136" s="275" t="s">
        <v>88</v>
      </c>
      <c r="AD136" s="275"/>
      <c r="AE136" s="275"/>
      <c r="AF136" s="323"/>
      <c r="AG136" s="323"/>
      <c r="AH136" s="323"/>
      <c r="AI136" s="323"/>
      <c r="AJ136" s="323"/>
      <c r="AK136" s="323"/>
      <c r="AL136" s="323"/>
      <c r="AM136" s="323"/>
      <c r="AN136" s="323"/>
      <c r="AO136" s="323" t="s">
        <v>237</v>
      </c>
      <c r="AP136" s="960" t="s">
        <v>235</v>
      </c>
      <c r="AQ136" s="323" t="s">
        <v>237</v>
      </c>
      <c r="AR136" s="323"/>
      <c r="AS136" s="323"/>
      <c r="AT136" s="323" t="s">
        <v>237</v>
      </c>
      <c r="AU136" s="323"/>
      <c r="AV136" s="323"/>
      <c r="AW136" s="323"/>
      <c r="AX136" s="318"/>
      <c r="AY136" s="318"/>
      <c r="AZ136" s="323"/>
      <c r="BA136" s="323"/>
      <c r="BB136" s="212"/>
      <c r="BE136" s="119"/>
      <c r="BF136" s="119"/>
      <c r="BG136" s="119"/>
      <c r="BH136" s="119"/>
      <c r="BM136" s="197"/>
      <c r="BN136" s="197"/>
      <c r="BO136" s="197"/>
    </row>
    <row r="137" spans="2:108" ht="28.5" customHeight="1" thickBot="1" x14ac:dyDescent="0.35">
      <c r="B137" s="324"/>
      <c r="C137" s="325"/>
      <c r="D137" s="285" t="s">
        <v>20</v>
      </c>
      <c r="E137" s="277"/>
      <c r="F137" s="277"/>
      <c r="G137" s="221"/>
      <c r="H137" s="288"/>
      <c r="I137" s="288"/>
      <c r="J137" s="292"/>
      <c r="K137" s="275"/>
      <c r="L137" s="275"/>
      <c r="M137" s="275"/>
      <c r="N137" s="275"/>
      <c r="O137" s="275"/>
      <c r="P137" s="275"/>
      <c r="Q137" s="275"/>
      <c r="R137" s="288"/>
      <c r="S137" s="275"/>
      <c r="T137" s="321"/>
      <c r="V137" s="323"/>
      <c r="W137" s="323"/>
      <c r="X137" s="323"/>
      <c r="Y137" s="323"/>
      <c r="Z137" s="323"/>
      <c r="AA137" s="323"/>
      <c r="AB137" s="323"/>
      <c r="AC137" s="326">
        <f>SUM(AC138:AC149)</f>
        <v>343.49989132317432</v>
      </c>
      <c r="AD137" s="327"/>
      <c r="AE137" s="327"/>
      <c r="AF137" s="323" t="s">
        <v>36</v>
      </c>
      <c r="AG137" s="328" t="s">
        <v>29</v>
      </c>
      <c r="AH137" s="328"/>
      <c r="AI137" s="290" t="s">
        <v>61</v>
      </c>
      <c r="AJ137" s="329" t="s">
        <v>30</v>
      </c>
      <c r="AK137" s="290" t="s">
        <v>31</v>
      </c>
      <c r="AL137" s="291" t="s">
        <v>62</v>
      </c>
      <c r="AM137" s="330" t="s">
        <v>32</v>
      </c>
      <c r="AN137" s="290" t="s">
        <v>33</v>
      </c>
      <c r="AO137" s="331" t="s">
        <v>45</v>
      </c>
      <c r="AP137" s="993" t="s">
        <v>259</v>
      </c>
      <c r="AQ137" s="331" t="s">
        <v>116</v>
      </c>
      <c r="AR137" s="323" t="s">
        <v>44</v>
      </c>
      <c r="AS137" s="323" t="s">
        <v>37</v>
      </c>
      <c r="AT137" s="331" t="s">
        <v>269</v>
      </c>
      <c r="AU137" s="323" t="s">
        <v>270</v>
      </c>
      <c r="AV137" s="332" t="s">
        <v>39</v>
      </c>
      <c r="AW137" s="332" t="s">
        <v>40</v>
      </c>
      <c r="AX137" s="333" t="s">
        <v>21</v>
      </c>
      <c r="AY137" s="333" t="s">
        <v>22</v>
      </c>
      <c r="AZ137" s="334" t="s">
        <v>21</v>
      </c>
      <c r="BA137" s="334" t="s">
        <v>22</v>
      </c>
      <c r="BC137" s="243"/>
      <c r="BE137" s="119"/>
      <c r="BF137" s="119"/>
      <c r="BG137" s="119"/>
      <c r="BH137" s="119"/>
      <c r="BM137" s="197"/>
      <c r="BN137" s="197"/>
      <c r="BO137" s="197"/>
    </row>
    <row r="138" spans="2:108" ht="21" thickBot="1" x14ac:dyDescent="0.35">
      <c r="B138" s="232">
        <v>1</v>
      </c>
      <c r="C138" s="233">
        <f>+(B132*-1)+D138</f>
        <v>0</v>
      </c>
      <c r="D138" s="16">
        <v>0</v>
      </c>
      <c r="E138" s="335" t="s">
        <v>72</v>
      </c>
      <c r="F138" s="247"/>
      <c r="G138" s="247"/>
      <c r="H138" s="283">
        <v>421.92079999999999</v>
      </c>
      <c r="I138" s="283">
        <v>35.4982179</v>
      </c>
      <c r="J138" s="283">
        <f>+I138-C138</f>
        <v>35.4982179</v>
      </c>
      <c r="K138" s="247"/>
      <c r="L138" s="247"/>
      <c r="M138" s="247"/>
      <c r="N138" s="247"/>
      <c r="O138" s="247"/>
      <c r="P138" s="283">
        <f>COS(J138*3.14159265358979/180)</f>
        <v>0.81413357986421708</v>
      </c>
      <c r="Q138" s="283">
        <f>+P138*H138</f>
        <v>343.49989132317432</v>
      </c>
      <c r="R138" s="336">
        <v>343.5</v>
      </c>
      <c r="S138" s="283">
        <f>+Q138</f>
        <v>343.49989132317432</v>
      </c>
      <c r="T138" s="247">
        <f t="shared" ref="T138:T149" si="5">+S138</f>
        <v>343.49989132317432</v>
      </c>
      <c r="U138" s="247"/>
      <c r="V138" s="247">
        <f t="shared" ref="V138:V149" si="6">IF(B138&lt;($B$135+1),T138,0)</f>
        <v>343.49989132317432</v>
      </c>
      <c r="W138" s="336">
        <v>35.4982179</v>
      </c>
      <c r="X138" s="247">
        <f>+W138+AH150</f>
        <v>35.4982179</v>
      </c>
      <c r="Y138" s="247">
        <v>421.92079999999999</v>
      </c>
      <c r="Z138" s="337">
        <f>+COS(X138*3.14159265358979/180)*Y138</f>
        <v>343.49989132317432</v>
      </c>
      <c r="AA138" s="338">
        <f>+AC137-Z138</f>
        <v>0</v>
      </c>
      <c r="AB138" s="247"/>
      <c r="AC138" s="339">
        <f>IF(AD138=1,AF138)</f>
        <v>343.49989132317432</v>
      </c>
      <c r="AD138" s="339">
        <f t="shared" ref="AD138:AD149" si="7">MAX(AE$138:AE$149)</f>
        <v>1</v>
      </c>
      <c r="AE138" s="339">
        <f>IF(V138=0,0,1)</f>
        <v>1</v>
      </c>
      <c r="AF138" s="340">
        <f>SUM(V138:V149)/($B$135)</f>
        <v>343.49989132317432</v>
      </c>
      <c r="AG138" s="341">
        <f>+D138+C138</f>
        <v>0</v>
      </c>
      <c r="AH138" s="342">
        <f t="shared" ref="AH138:AH149" si="8">IF(B138&lt;($B$135+1),AG138)</f>
        <v>0</v>
      </c>
      <c r="AI138" s="343">
        <f>54.5017821+AG138</f>
        <v>54.5017821</v>
      </c>
      <c r="AJ138" s="344">
        <f>SIN(AI138*3.14159265358979/180)</f>
        <v>0.81413357986421619</v>
      </c>
      <c r="AK138" s="293">
        <f>+AJ138*421.92</f>
        <v>343.49924001631013</v>
      </c>
      <c r="AL138" s="343">
        <f>58.7344156-AG138</f>
        <v>58.734415599999998</v>
      </c>
      <c r="AM138" s="345">
        <f>SIN(AL138*3.14159265358979/180)</f>
        <v>0.85477073319485097</v>
      </c>
      <c r="AN138" s="293">
        <f>+AM138*472.06</f>
        <v>403.50307231196138</v>
      </c>
      <c r="AO138" s="346">
        <f t="shared" ref="AO138:AO149" si="9">+((AF138*AP138)+($AP$159*($AF$159+$AA$138)))/AQ138</f>
        <v>290.11055456555113</v>
      </c>
      <c r="AP138" s="980">
        <f>$C$10*B135</f>
        <v>57</v>
      </c>
      <c r="AQ138" s="346">
        <f t="shared" ref="AQ138:AQ149" si="10">+AP138+$AP$159+2.5</f>
        <v>88.8</v>
      </c>
      <c r="AR138" s="347">
        <f>+AN138+AK138</f>
        <v>747.0023123282715</v>
      </c>
      <c r="AS138" s="348">
        <f>+V138-AN138</f>
        <v>-60.003180988787051</v>
      </c>
      <c r="AT138" s="349">
        <f>+AO138-AS138</f>
        <v>350.11373555433818</v>
      </c>
      <c r="AU138" s="348">
        <f>+AF138-AS138</f>
        <v>403.50307231196138</v>
      </c>
      <c r="AV138" s="350">
        <f>+((AR138-AT138)/AR138)*AQ138</f>
        <v>47.180182759645014</v>
      </c>
      <c r="AW138" s="350">
        <f>+(AT138/AR138)*AQ138</f>
        <v>41.619817240354976</v>
      </c>
      <c r="AX138" s="351">
        <f t="shared" ref="AX138:AX149" si="11">2*$C$19/AV138</f>
        <v>245.86594034819885</v>
      </c>
      <c r="AY138" s="351">
        <f t="shared" ref="AY138:AY149" si="12">2*$D$19/AW138</f>
        <v>278.71338148867528</v>
      </c>
      <c r="AZ138" s="352">
        <f>ABS(AX138)</f>
        <v>245.86594034819885</v>
      </c>
      <c r="BA138" s="352">
        <f>ABS(AY138)</f>
        <v>278.71338148867528</v>
      </c>
      <c r="BB138" s="74"/>
      <c r="BC138" s="243"/>
      <c r="BE138" s="119"/>
      <c r="BF138" s="119"/>
      <c r="BG138" s="119"/>
      <c r="BH138" s="119"/>
      <c r="BM138" s="197"/>
      <c r="BN138" s="197"/>
      <c r="BO138" s="197"/>
    </row>
    <row r="139" spans="2:108" ht="21" thickBot="1" x14ac:dyDescent="0.35">
      <c r="B139" s="244">
        <v>2</v>
      </c>
      <c r="C139" s="245"/>
      <c r="D139" s="16">
        <v>0</v>
      </c>
      <c r="E139" s="234" t="s">
        <v>72</v>
      </c>
      <c r="F139" s="235"/>
      <c r="G139" s="235"/>
      <c r="H139" s="235">
        <v>472.06</v>
      </c>
      <c r="I139" s="235">
        <v>62.531168700000002</v>
      </c>
      <c r="J139" s="235">
        <f>+I139+D139</f>
        <v>62.531168700000002</v>
      </c>
      <c r="K139" s="235">
        <f t="shared" ref="K139:K149" si="13">+J139/2</f>
        <v>31.265584350000001</v>
      </c>
      <c r="L139" s="235">
        <f t="shared" ref="L139:L149" si="14">SIN(K139*3.14159265358979/180)</f>
        <v>0.51900577347391186</v>
      </c>
      <c r="M139" s="235">
        <f t="shared" ref="M139:M149" si="15">+L139*H139</f>
        <v>245.00186542609484</v>
      </c>
      <c r="N139" s="235">
        <f t="shared" ref="N139:N149" si="16">+M139*2</f>
        <v>490.00373085218968</v>
      </c>
      <c r="O139" s="235">
        <f>+C138+(D139/2)</f>
        <v>0</v>
      </c>
      <c r="P139" s="235">
        <f t="shared" ref="P139:P149" si="17">SIN(O139*3.14159265358979/180)</f>
        <v>0</v>
      </c>
      <c r="Q139" s="235">
        <f t="shared" ref="Q139:Q149" si="18">+P139*N139</f>
        <v>0</v>
      </c>
      <c r="R139" s="235">
        <f t="shared" ref="R139:R149" si="19">+T138</f>
        <v>343.49989132317432</v>
      </c>
      <c r="S139" s="235">
        <f>+R139+Q139</f>
        <v>343.49989132317432</v>
      </c>
      <c r="T139" s="235">
        <f t="shared" si="5"/>
        <v>343.49989132317432</v>
      </c>
      <c r="U139" s="235"/>
      <c r="V139" s="235">
        <f t="shared" si="6"/>
        <v>0</v>
      </c>
      <c r="W139" s="235"/>
      <c r="X139" s="235"/>
      <c r="Y139" s="235"/>
      <c r="Z139" s="235"/>
      <c r="AA139" s="235"/>
      <c r="AB139" s="235"/>
      <c r="AC139" s="339" t="b">
        <f>IF(AD139=2,AF139)</f>
        <v>0</v>
      </c>
      <c r="AD139" s="339">
        <f t="shared" si="7"/>
        <v>1</v>
      </c>
      <c r="AE139" s="339">
        <f>IF(V139=0,0,2)</f>
        <v>0</v>
      </c>
      <c r="AF139" s="340" t="e">
        <f>SUM(V139:V149)/($B$135-B138)</f>
        <v>#DIV/0!</v>
      </c>
      <c r="AG139" s="353">
        <f>SUM(D139)+$C$138</f>
        <v>0</v>
      </c>
      <c r="AH139" s="342" t="b">
        <f t="shared" si="8"/>
        <v>0</v>
      </c>
      <c r="AI139" s="343">
        <f t="shared" ref="AI139:AI149" si="20">54.5017821+AG139</f>
        <v>54.5017821</v>
      </c>
      <c r="AJ139" s="344">
        <f>SIN(AI139*3.14159265358979/180)</f>
        <v>0.81413357986421619</v>
      </c>
      <c r="AK139" s="293">
        <f t="shared" ref="AK139:AK149" si="21">+AJ139*421.92</f>
        <v>343.49924001631013</v>
      </c>
      <c r="AL139" s="343">
        <f t="shared" ref="AL139:AL149" si="22">58.7344156-AG139</f>
        <v>58.734415599999998</v>
      </c>
      <c r="AM139" s="345">
        <f t="shared" ref="AM139:AM149" si="23">SIN(AL139*3.14159265358979/180)</f>
        <v>0.85477073319485097</v>
      </c>
      <c r="AN139" s="293">
        <f t="shared" ref="AN139:AN149" si="24">+AM139*472.06</f>
        <v>403.50307231196138</v>
      </c>
      <c r="AO139" s="346" t="e">
        <f t="shared" si="9"/>
        <v>#DIV/0!</v>
      </c>
      <c r="AP139" s="980">
        <f>$C$10*($B$135-B138)</f>
        <v>0</v>
      </c>
      <c r="AQ139" s="346">
        <f t="shared" si="10"/>
        <v>31.8</v>
      </c>
      <c r="AR139" s="347">
        <f t="shared" ref="AR139:AR149" si="25">+AN139+AK139</f>
        <v>747.0023123282715</v>
      </c>
      <c r="AS139" s="348">
        <f>+V139-AN139</f>
        <v>-403.50307231196138</v>
      </c>
      <c r="AT139" s="349" t="e">
        <f t="shared" ref="AT139:AT149" si="26">+AO139-AS139</f>
        <v>#DIV/0!</v>
      </c>
      <c r="AU139" s="348" t="e">
        <f>+AF139-AS139</f>
        <v>#DIV/0!</v>
      </c>
      <c r="AV139" s="350" t="e">
        <f t="shared" ref="AV139:AV149" si="27">+((AR139-AT139)/AR139)*AQ139</f>
        <v>#DIV/0!</v>
      </c>
      <c r="AW139" s="350" t="e">
        <f t="shared" ref="AW139:AW149" si="28">+(AT139/AR139)*AQ139</f>
        <v>#DIV/0!</v>
      </c>
      <c r="AX139" s="351" t="e">
        <f t="shared" si="11"/>
        <v>#DIV/0!</v>
      </c>
      <c r="AY139" s="351" t="e">
        <f t="shared" si="12"/>
        <v>#DIV/0!</v>
      </c>
      <c r="AZ139" s="354" t="e">
        <f t="shared" ref="AZ139:BA149" si="29">ABS(AX139)</f>
        <v>#DIV/0!</v>
      </c>
      <c r="BA139" s="354" t="e">
        <f t="shared" si="29"/>
        <v>#DIV/0!</v>
      </c>
      <c r="BC139" s="243"/>
      <c r="BE139" s="119"/>
      <c r="BF139" s="119"/>
      <c r="BG139" s="119"/>
      <c r="BH139" s="119"/>
      <c r="BM139" s="197"/>
      <c r="BN139" s="197"/>
      <c r="BO139" s="197"/>
    </row>
    <row r="140" spans="2:108" ht="21" thickBot="1" x14ac:dyDescent="0.35">
      <c r="B140" s="244">
        <v>3</v>
      </c>
      <c r="C140" s="245"/>
      <c r="D140" s="16">
        <v>0</v>
      </c>
      <c r="E140" s="234" t="s">
        <v>72</v>
      </c>
      <c r="F140" s="235"/>
      <c r="G140" s="235"/>
      <c r="H140" s="235">
        <v>472.06</v>
      </c>
      <c r="I140" s="235">
        <v>62.531168700000002</v>
      </c>
      <c r="J140" s="235">
        <f t="shared" ref="J140:J149" si="30">+I140+D140</f>
        <v>62.531168700000002</v>
      </c>
      <c r="K140" s="235">
        <f t="shared" si="13"/>
        <v>31.265584350000001</v>
      </c>
      <c r="L140" s="235">
        <f t="shared" si="14"/>
        <v>0.51900577347391186</v>
      </c>
      <c r="M140" s="235">
        <f t="shared" si="15"/>
        <v>245.00186542609484</v>
      </c>
      <c r="N140" s="235">
        <f t="shared" si="16"/>
        <v>490.00373085218968</v>
      </c>
      <c r="O140" s="235">
        <f>+C138+D139+(D140/2)</f>
        <v>0</v>
      </c>
      <c r="P140" s="235">
        <f t="shared" si="17"/>
        <v>0</v>
      </c>
      <c r="Q140" s="235">
        <f t="shared" si="18"/>
        <v>0</v>
      </c>
      <c r="R140" s="235">
        <f t="shared" si="19"/>
        <v>343.49989132317432</v>
      </c>
      <c r="S140" s="235">
        <f t="shared" ref="S140:S149" si="31">+S139+Q140</f>
        <v>343.49989132317432</v>
      </c>
      <c r="T140" s="235">
        <f t="shared" si="5"/>
        <v>343.49989132317432</v>
      </c>
      <c r="U140" s="235"/>
      <c r="V140" s="235">
        <f t="shared" si="6"/>
        <v>0</v>
      </c>
      <c r="W140" s="235"/>
      <c r="X140" s="235"/>
      <c r="Y140" s="235"/>
      <c r="Z140" s="235"/>
      <c r="AA140" s="235"/>
      <c r="AB140" s="235"/>
      <c r="AC140" s="339" t="b">
        <f>IF(AD140=3,AF140)</f>
        <v>0</v>
      </c>
      <c r="AD140" s="339">
        <f t="shared" si="7"/>
        <v>1</v>
      </c>
      <c r="AE140" s="339">
        <f>IF(V140=0,0,3)</f>
        <v>0</v>
      </c>
      <c r="AF140" s="340">
        <f>SUM(V140:V149)/($B$135-B139)</f>
        <v>0</v>
      </c>
      <c r="AG140" s="353">
        <f>SUM(D139:D140)+$C$138</f>
        <v>0</v>
      </c>
      <c r="AH140" s="342" t="b">
        <f t="shared" si="8"/>
        <v>0</v>
      </c>
      <c r="AI140" s="343">
        <f t="shared" si="20"/>
        <v>54.5017821</v>
      </c>
      <c r="AJ140" s="344">
        <f t="shared" ref="AJ140:AJ149" si="32">SIN(AI140*3.14159265358979/180)</f>
        <v>0.81413357986421619</v>
      </c>
      <c r="AK140" s="293">
        <f t="shared" si="21"/>
        <v>343.49924001631013</v>
      </c>
      <c r="AL140" s="343">
        <f t="shared" si="22"/>
        <v>58.734415599999998</v>
      </c>
      <c r="AM140" s="345">
        <f t="shared" si="23"/>
        <v>0.85477073319485097</v>
      </c>
      <c r="AN140" s="293">
        <f t="shared" si="24"/>
        <v>403.50307231196138</v>
      </c>
      <c r="AO140" s="346">
        <f t="shared" si="9"/>
        <v>-245.33029523809526</v>
      </c>
      <c r="AP140" s="980">
        <f t="shared" ref="AP140:AP149" si="33">$C$10*($B$135-B139)</f>
        <v>-57</v>
      </c>
      <c r="AQ140" s="346">
        <f t="shared" si="10"/>
        <v>-25.2</v>
      </c>
      <c r="AR140" s="347">
        <f t="shared" si="25"/>
        <v>747.0023123282715</v>
      </c>
      <c r="AS140" s="348">
        <f>+V140-AN140</f>
        <v>-403.50307231196138</v>
      </c>
      <c r="AT140" s="349">
        <f t="shared" si="26"/>
        <v>158.17277707386611</v>
      </c>
      <c r="AU140" s="348">
        <f>+AF140-AS140</f>
        <v>403.50307231196138</v>
      </c>
      <c r="AV140" s="350">
        <f t="shared" si="27"/>
        <v>-19.864067411199937</v>
      </c>
      <c r="AW140" s="350">
        <f t="shared" si="28"/>
        <v>-5.3359325888000617</v>
      </c>
      <c r="AX140" s="351">
        <f t="shared" si="11"/>
        <v>-583.96902104045341</v>
      </c>
      <c r="AY140" s="351">
        <f t="shared" si="12"/>
        <v>-2173.9405074846709</v>
      </c>
      <c r="AZ140" s="354">
        <f t="shared" si="29"/>
        <v>583.96902104045341</v>
      </c>
      <c r="BA140" s="354">
        <f t="shared" si="29"/>
        <v>2173.9405074846709</v>
      </c>
      <c r="BC140" s="243"/>
      <c r="BE140" s="119"/>
      <c r="BF140" s="119"/>
      <c r="BG140" s="119"/>
      <c r="BH140" s="119"/>
      <c r="BM140" s="197"/>
      <c r="BN140" s="197"/>
      <c r="BO140" s="197"/>
    </row>
    <row r="141" spans="2:108" ht="21" thickBot="1" x14ac:dyDescent="0.35">
      <c r="B141" s="244">
        <v>4</v>
      </c>
      <c r="C141" s="245"/>
      <c r="D141" s="16">
        <v>0</v>
      </c>
      <c r="E141" s="234" t="s">
        <v>72</v>
      </c>
      <c r="F141" s="235"/>
      <c r="G141" s="235"/>
      <c r="H141" s="235">
        <v>472.06</v>
      </c>
      <c r="I141" s="235">
        <v>62.531168700000002</v>
      </c>
      <c r="J141" s="235">
        <f t="shared" si="30"/>
        <v>62.531168700000002</v>
      </c>
      <c r="K141" s="235">
        <f t="shared" si="13"/>
        <v>31.265584350000001</v>
      </c>
      <c r="L141" s="235">
        <f t="shared" si="14"/>
        <v>0.51900577347391186</v>
      </c>
      <c r="M141" s="235">
        <f t="shared" si="15"/>
        <v>245.00186542609484</v>
      </c>
      <c r="N141" s="235">
        <f t="shared" si="16"/>
        <v>490.00373085218968</v>
      </c>
      <c r="O141" s="235">
        <f>+C138+D139+D140+(D141/2)</f>
        <v>0</v>
      </c>
      <c r="P141" s="235">
        <f t="shared" si="17"/>
        <v>0</v>
      </c>
      <c r="Q141" s="235">
        <f t="shared" si="18"/>
        <v>0</v>
      </c>
      <c r="R141" s="235">
        <f t="shared" si="19"/>
        <v>343.49989132317432</v>
      </c>
      <c r="S141" s="235">
        <f t="shared" si="31"/>
        <v>343.49989132317432</v>
      </c>
      <c r="T141" s="235">
        <f t="shared" si="5"/>
        <v>343.49989132317432</v>
      </c>
      <c r="U141" s="235"/>
      <c r="V141" s="235">
        <f t="shared" si="6"/>
        <v>0</v>
      </c>
      <c r="W141" s="235"/>
      <c r="X141" s="235"/>
      <c r="Y141" s="235"/>
      <c r="Z141" s="235"/>
      <c r="AA141" s="235"/>
      <c r="AB141" s="235"/>
      <c r="AC141" s="339" t="b">
        <f>IF(AD141=4,AF141)</f>
        <v>0</v>
      </c>
      <c r="AD141" s="339">
        <f t="shared" si="7"/>
        <v>1</v>
      </c>
      <c r="AE141" s="339">
        <f>IF(V141=0,0,4)</f>
        <v>0</v>
      </c>
      <c r="AF141" s="340">
        <f>SUM(V141:V149)/($B$135-B140)</f>
        <v>0</v>
      </c>
      <c r="AG141" s="353">
        <f>SUM(D139:D141)+$C$138</f>
        <v>0</v>
      </c>
      <c r="AH141" s="342" t="b">
        <f t="shared" si="8"/>
        <v>0</v>
      </c>
      <c r="AI141" s="343">
        <f t="shared" si="20"/>
        <v>54.5017821</v>
      </c>
      <c r="AJ141" s="344">
        <f t="shared" si="32"/>
        <v>0.81413357986421619</v>
      </c>
      <c r="AK141" s="293">
        <f t="shared" si="21"/>
        <v>343.49924001631013</v>
      </c>
      <c r="AL141" s="343">
        <f t="shared" si="22"/>
        <v>58.734415599999998</v>
      </c>
      <c r="AM141" s="345">
        <f t="shared" si="23"/>
        <v>0.85477073319485097</v>
      </c>
      <c r="AN141" s="293">
        <f t="shared" si="24"/>
        <v>403.50307231196138</v>
      </c>
      <c r="AO141" s="346">
        <f t="shared" si="9"/>
        <v>-75.210747445255478</v>
      </c>
      <c r="AP141" s="980">
        <f t="shared" si="33"/>
        <v>-114</v>
      </c>
      <c r="AQ141" s="346">
        <f t="shared" si="10"/>
        <v>-82.2</v>
      </c>
      <c r="AR141" s="347">
        <f t="shared" si="25"/>
        <v>747.0023123282715</v>
      </c>
      <c r="AS141" s="348">
        <f>+V141-AN141</f>
        <v>-403.50307231196138</v>
      </c>
      <c r="AT141" s="349">
        <f t="shared" si="26"/>
        <v>328.29232486670588</v>
      </c>
      <c r="AU141" s="348">
        <f t="shared" ref="AU141:AU149" si="34">+AF141-AS141</f>
        <v>403.50307231196138</v>
      </c>
      <c r="AV141" s="350">
        <f t="shared" si="27"/>
        <v>-46.074771659094488</v>
      </c>
      <c r="AW141" s="350">
        <f t="shared" si="28"/>
        <v>-36.125228340905508</v>
      </c>
      <c r="AX141" s="351">
        <f t="shared" si="11"/>
        <v>-251.76467690014758</v>
      </c>
      <c r="AY141" s="351">
        <f t="shared" si="12"/>
        <v>-321.10523677617914</v>
      </c>
      <c r="AZ141" s="354">
        <f t="shared" si="29"/>
        <v>251.76467690014758</v>
      </c>
      <c r="BA141" s="354">
        <f t="shared" si="29"/>
        <v>321.10523677617914</v>
      </c>
      <c r="BC141" s="243"/>
      <c r="BE141" s="119"/>
      <c r="BF141" s="119"/>
      <c r="BG141" s="119"/>
      <c r="BH141" s="119"/>
      <c r="BM141" s="197"/>
      <c r="BN141" s="197"/>
      <c r="BO141" s="197"/>
    </row>
    <row r="142" spans="2:108" ht="21" thickBot="1" x14ac:dyDescent="0.35">
      <c r="B142" s="244">
        <v>5</v>
      </c>
      <c r="C142" s="245"/>
      <c r="D142" s="16">
        <v>0</v>
      </c>
      <c r="E142" s="234" t="s">
        <v>72</v>
      </c>
      <c r="F142" s="235"/>
      <c r="G142" s="235"/>
      <c r="H142" s="235">
        <v>472.06</v>
      </c>
      <c r="I142" s="235">
        <v>62.531168700000002</v>
      </c>
      <c r="J142" s="235">
        <f t="shared" si="30"/>
        <v>62.531168700000002</v>
      </c>
      <c r="K142" s="235">
        <f t="shared" si="13"/>
        <v>31.265584350000001</v>
      </c>
      <c r="L142" s="235">
        <f t="shared" si="14"/>
        <v>0.51900577347391186</v>
      </c>
      <c r="M142" s="235">
        <f t="shared" si="15"/>
        <v>245.00186542609484</v>
      </c>
      <c r="N142" s="235">
        <f t="shared" si="16"/>
        <v>490.00373085218968</v>
      </c>
      <c r="O142" s="235">
        <f>+C138+D139+D140+D141+(D142/2)</f>
        <v>0</v>
      </c>
      <c r="P142" s="235">
        <f t="shared" si="17"/>
        <v>0</v>
      </c>
      <c r="Q142" s="235">
        <f t="shared" si="18"/>
        <v>0</v>
      </c>
      <c r="R142" s="235">
        <f t="shared" si="19"/>
        <v>343.49989132317432</v>
      </c>
      <c r="S142" s="235">
        <f t="shared" si="31"/>
        <v>343.49989132317432</v>
      </c>
      <c r="T142" s="235">
        <f t="shared" si="5"/>
        <v>343.49989132317432</v>
      </c>
      <c r="U142" s="235"/>
      <c r="V142" s="235">
        <f t="shared" si="6"/>
        <v>0</v>
      </c>
      <c r="W142" s="235"/>
      <c r="X142" s="235"/>
      <c r="Y142" s="235"/>
      <c r="Z142" s="235"/>
      <c r="AA142" s="235"/>
      <c r="AB142" s="235"/>
      <c r="AC142" s="339" t="b">
        <f>IF(AD142=5,AF142)</f>
        <v>0</v>
      </c>
      <c r="AD142" s="339">
        <f t="shared" si="7"/>
        <v>1</v>
      </c>
      <c r="AE142" s="339">
        <f>IF(V142=0,0,5)</f>
        <v>0</v>
      </c>
      <c r="AF142" s="340">
        <f>SUM(V142:V149)/($B$135-B141)</f>
        <v>0</v>
      </c>
      <c r="AG142" s="353">
        <f>SUM(D139:D142)+$C$138</f>
        <v>0</v>
      </c>
      <c r="AH142" s="342" t="b">
        <f t="shared" si="8"/>
        <v>0</v>
      </c>
      <c r="AI142" s="343">
        <f t="shared" si="20"/>
        <v>54.5017821</v>
      </c>
      <c r="AJ142" s="344">
        <f t="shared" si="32"/>
        <v>0.81413357986421619</v>
      </c>
      <c r="AK142" s="293">
        <f t="shared" si="21"/>
        <v>343.49924001631013</v>
      </c>
      <c r="AL142" s="343">
        <f t="shared" si="22"/>
        <v>58.734415599999998</v>
      </c>
      <c r="AM142" s="345">
        <f t="shared" si="23"/>
        <v>0.85477073319485097</v>
      </c>
      <c r="AN142" s="293">
        <f t="shared" si="24"/>
        <v>403.50307231196138</v>
      </c>
      <c r="AO142" s="346">
        <f t="shared" si="9"/>
        <v>-44.413243103448281</v>
      </c>
      <c r="AP142" s="980">
        <f t="shared" si="33"/>
        <v>-171</v>
      </c>
      <c r="AQ142" s="346">
        <f t="shared" si="10"/>
        <v>-139.19999999999999</v>
      </c>
      <c r="AR142" s="347">
        <f t="shared" si="25"/>
        <v>747.0023123282715</v>
      </c>
      <c r="AS142" s="348">
        <f t="shared" ref="AS142:AS149" si="35">+V142-AN142</f>
        <v>-403.50307231196138</v>
      </c>
      <c r="AT142" s="349">
        <f t="shared" si="26"/>
        <v>359.08982920851309</v>
      </c>
      <c r="AU142" s="348">
        <f t="shared" si="34"/>
        <v>403.50307231196138</v>
      </c>
      <c r="AV142" s="350">
        <f t="shared" si="27"/>
        <v>-72.285475906989021</v>
      </c>
      <c r="AW142" s="350">
        <f t="shared" si="28"/>
        <v>-66.914524093010954</v>
      </c>
      <c r="AX142" s="351">
        <f t="shared" si="11"/>
        <v>-160.474837502985</v>
      </c>
      <c r="AY142" s="351">
        <f t="shared" si="12"/>
        <v>-173.35548832232658</v>
      </c>
      <c r="AZ142" s="354">
        <f t="shared" si="29"/>
        <v>160.474837502985</v>
      </c>
      <c r="BA142" s="354">
        <f t="shared" si="29"/>
        <v>173.35548832232658</v>
      </c>
      <c r="BC142" s="243"/>
      <c r="BE142" s="119"/>
      <c r="BF142" s="119"/>
      <c r="BG142" s="119"/>
      <c r="BH142" s="119"/>
      <c r="BM142" s="197"/>
      <c r="BN142" s="197"/>
      <c r="BO142" s="197"/>
    </row>
    <row r="143" spans="2:108" ht="21" thickBot="1" x14ac:dyDescent="0.35">
      <c r="B143" s="244">
        <v>6</v>
      </c>
      <c r="C143" s="245"/>
      <c r="D143" s="16">
        <v>0</v>
      </c>
      <c r="E143" s="234" t="s">
        <v>72</v>
      </c>
      <c r="F143" s="235"/>
      <c r="G143" s="235"/>
      <c r="H143" s="235">
        <v>472.06</v>
      </c>
      <c r="I143" s="235">
        <v>62.531168700000002</v>
      </c>
      <c r="J143" s="235">
        <f t="shared" si="30"/>
        <v>62.531168700000002</v>
      </c>
      <c r="K143" s="235">
        <f t="shared" si="13"/>
        <v>31.265584350000001</v>
      </c>
      <c r="L143" s="235">
        <f t="shared" si="14"/>
        <v>0.51900577347391186</v>
      </c>
      <c r="M143" s="235">
        <f t="shared" si="15"/>
        <v>245.00186542609484</v>
      </c>
      <c r="N143" s="235">
        <f t="shared" si="16"/>
        <v>490.00373085218968</v>
      </c>
      <c r="O143" s="235">
        <f>+C138+D139+D140+D141+D142+(D143/2)</f>
        <v>0</v>
      </c>
      <c r="P143" s="235">
        <f t="shared" si="17"/>
        <v>0</v>
      </c>
      <c r="Q143" s="235">
        <f t="shared" si="18"/>
        <v>0</v>
      </c>
      <c r="R143" s="235">
        <f t="shared" si="19"/>
        <v>343.49989132317432</v>
      </c>
      <c r="S143" s="235">
        <f t="shared" si="31"/>
        <v>343.49989132317432</v>
      </c>
      <c r="T143" s="235">
        <f t="shared" si="5"/>
        <v>343.49989132317432</v>
      </c>
      <c r="U143" s="235"/>
      <c r="V143" s="235">
        <f t="shared" si="6"/>
        <v>0</v>
      </c>
      <c r="W143" s="235"/>
      <c r="X143" s="235"/>
      <c r="Y143" s="235"/>
      <c r="Z143" s="235"/>
      <c r="AA143" s="235"/>
      <c r="AB143" s="235"/>
      <c r="AC143" s="339" t="b">
        <f>IF(AD143=6,AF143)</f>
        <v>0</v>
      </c>
      <c r="AD143" s="339">
        <f t="shared" si="7"/>
        <v>1</v>
      </c>
      <c r="AE143" s="339">
        <f>IF(V143=0,0,6)</f>
        <v>0</v>
      </c>
      <c r="AF143" s="340">
        <f>SUM(V143:V149)/($B$135-B142)</f>
        <v>0</v>
      </c>
      <c r="AG143" s="353">
        <f>SUM(D139:D143)+$C$138</f>
        <v>0</v>
      </c>
      <c r="AH143" s="342" t="b">
        <f t="shared" si="8"/>
        <v>0</v>
      </c>
      <c r="AI143" s="343">
        <f t="shared" si="20"/>
        <v>54.5017821</v>
      </c>
      <c r="AJ143" s="344">
        <f t="shared" si="32"/>
        <v>0.81413357986421619</v>
      </c>
      <c r="AK143" s="293">
        <f t="shared" si="21"/>
        <v>343.49924001631013</v>
      </c>
      <c r="AL143" s="343">
        <f t="shared" si="22"/>
        <v>58.734415599999998</v>
      </c>
      <c r="AM143" s="345">
        <f t="shared" si="23"/>
        <v>0.85477073319485097</v>
      </c>
      <c r="AN143" s="293">
        <f t="shared" si="24"/>
        <v>403.50307231196138</v>
      </c>
      <c r="AO143" s="346">
        <f t="shared" si="9"/>
        <v>-31.510313149847097</v>
      </c>
      <c r="AP143" s="980">
        <f t="shared" si="33"/>
        <v>-228</v>
      </c>
      <c r="AQ143" s="346">
        <f t="shared" si="10"/>
        <v>-196.2</v>
      </c>
      <c r="AR143" s="347">
        <f t="shared" si="25"/>
        <v>747.0023123282715</v>
      </c>
      <c r="AS143" s="348">
        <f t="shared" si="35"/>
        <v>-403.50307231196138</v>
      </c>
      <c r="AT143" s="349">
        <f t="shared" si="26"/>
        <v>371.99275916211428</v>
      </c>
      <c r="AU143" s="348">
        <f t="shared" si="34"/>
        <v>403.50307231196138</v>
      </c>
      <c r="AV143" s="350">
        <f t="shared" si="27"/>
        <v>-98.496180154883589</v>
      </c>
      <c r="AW143" s="350">
        <f t="shared" si="28"/>
        <v>-97.703819845116399</v>
      </c>
      <c r="AX143" s="351">
        <f t="shared" si="11"/>
        <v>-117.77106464188961</v>
      </c>
      <c r="AY143" s="351">
        <f t="shared" si="12"/>
        <v>-118.72616667791225</v>
      </c>
      <c r="AZ143" s="354">
        <f t="shared" si="29"/>
        <v>117.77106464188961</v>
      </c>
      <c r="BA143" s="354">
        <f t="shared" si="29"/>
        <v>118.72616667791225</v>
      </c>
      <c r="BC143" s="243"/>
      <c r="BE143" s="119"/>
      <c r="BF143" s="119"/>
      <c r="BG143" s="119"/>
      <c r="BH143" s="119"/>
      <c r="BM143" s="197"/>
      <c r="BN143" s="197"/>
      <c r="BO143" s="197"/>
    </row>
    <row r="144" spans="2:108" ht="21" thickBot="1" x14ac:dyDescent="0.35">
      <c r="B144" s="244">
        <v>7</v>
      </c>
      <c r="C144" s="245"/>
      <c r="D144" s="16">
        <v>0</v>
      </c>
      <c r="E144" s="234" t="s">
        <v>72</v>
      </c>
      <c r="F144" s="235"/>
      <c r="G144" s="235"/>
      <c r="H144" s="235">
        <v>472.06</v>
      </c>
      <c r="I144" s="235">
        <v>62.531168700000002</v>
      </c>
      <c r="J144" s="235">
        <f t="shared" si="30"/>
        <v>62.531168700000002</v>
      </c>
      <c r="K144" s="235">
        <f t="shared" si="13"/>
        <v>31.265584350000001</v>
      </c>
      <c r="L144" s="235">
        <f t="shared" si="14"/>
        <v>0.51900577347391186</v>
      </c>
      <c r="M144" s="235">
        <f t="shared" si="15"/>
        <v>245.00186542609484</v>
      </c>
      <c r="N144" s="235">
        <f t="shared" si="16"/>
        <v>490.00373085218968</v>
      </c>
      <c r="O144" s="235">
        <f>+C138+D139+D140+D141+D142+D143+(D144/2)</f>
        <v>0</v>
      </c>
      <c r="P144" s="235">
        <f t="shared" si="17"/>
        <v>0</v>
      </c>
      <c r="Q144" s="235">
        <f t="shared" si="18"/>
        <v>0</v>
      </c>
      <c r="R144" s="235">
        <f t="shared" si="19"/>
        <v>343.49989132317432</v>
      </c>
      <c r="S144" s="235">
        <f t="shared" si="31"/>
        <v>343.49989132317432</v>
      </c>
      <c r="T144" s="235">
        <f t="shared" si="5"/>
        <v>343.49989132317432</v>
      </c>
      <c r="U144" s="235"/>
      <c r="V144" s="235">
        <f t="shared" si="6"/>
        <v>0</v>
      </c>
      <c r="W144" s="235"/>
      <c r="X144" s="235"/>
      <c r="Y144" s="235"/>
      <c r="Z144" s="235"/>
      <c r="AA144" s="235"/>
      <c r="AB144" s="235"/>
      <c r="AC144" s="339" t="b">
        <f>IF(AD144=7,AF144)</f>
        <v>0</v>
      </c>
      <c r="AD144" s="339">
        <f t="shared" si="7"/>
        <v>1</v>
      </c>
      <c r="AE144" s="339">
        <f>IF(V144=0,0,7)</f>
        <v>0</v>
      </c>
      <c r="AF144" s="340">
        <f>SUM(V144:V149)/($B$135-B143)</f>
        <v>0</v>
      </c>
      <c r="AG144" s="353">
        <f>SUM(D139:D144)+$C$138</f>
        <v>0</v>
      </c>
      <c r="AH144" s="342" t="b">
        <f t="shared" si="8"/>
        <v>0</v>
      </c>
      <c r="AI144" s="343">
        <f t="shared" si="20"/>
        <v>54.5017821</v>
      </c>
      <c r="AJ144" s="344">
        <f t="shared" si="32"/>
        <v>0.81413357986421619</v>
      </c>
      <c r="AK144" s="293">
        <f t="shared" si="21"/>
        <v>343.49924001631013</v>
      </c>
      <c r="AL144" s="343">
        <f t="shared" si="22"/>
        <v>58.734415599999998</v>
      </c>
      <c r="AM144" s="345">
        <f t="shared" si="23"/>
        <v>0.85477073319485097</v>
      </c>
      <c r="AN144" s="293">
        <f t="shared" si="24"/>
        <v>403.50307231196138</v>
      </c>
      <c r="AO144" s="346">
        <f t="shared" si="9"/>
        <v>-24.416759241706163</v>
      </c>
      <c r="AP144" s="980">
        <f t="shared" si="33"/>
        <v>-285</v>
      </c>
      <c r="AQ144" s="346">
        <f t="shared" si="10"/>
        <v>-253.2</v>
      </c>
      <c r="AR144" s="347">
        <f t="shared" si="25"/>
        <v>747.0023123282715</v>
      </c>
      <c r="AS144" s="348">
        <f t="shared" si="35"/>
        <v>-403.50307231196138</v>
      </c>
      <c r="AT144" s="349">
        <f t="shared" si="26"/>
        <v>379.08631307025519</v>
      </c>
      <c r="AU144" s="348">
        <f t="shared" si="34"/>
        <v>403.50307231196138</v>
      </c>
      <c r="AV144" s="350">
        <f t="shared" si="27"/>
        <v>-124.70688440277814</v>
      </c>
      <c r="AW144" s="350">
        <f t="shared" si="28"/>
        <v>-128.49311559722184</v>
      </c>
      <c r="AX144" s="351">
        <f t="shared" si="11"/>
        <v>-93.018120495532017</v>
      </c>
      <c r="AY144" s="351">
        <f t="shared" si="12"/>
        <v>-90.27721015312359</v>
      </c>
      <c r="AZ144" s="354">
        <f t="shared" si="29"/>
        <v>93.018120495532017</v>
      </c>
      <c r="BA144" s="354">
        <f t="shared" si="29"/>
        <v>90.27721015312359</v>
      </c>
      <c r="BC144" s="243"/>
      <c r="BE144" s="119"/>
      <c r="BF144" s="119"/>
      <c r="BG144" s="119"/>
      <c r="BH144" s="119"/>
      <c r="BM144" s="197"/>
      <c r="BN144" s="197"/>
      <c r="BO144" s="197"/>
    </row>
    <row r="145" spans="2:67" ht="21" thickBot="1" x14ac:dyDescent="0.35">
      <c r="B145" s="244">
        <v>8</v>
      </c>
      <c r="C145" s="245"/>
      <c r="D145" s="16">
        <v>0</v>
      </c>
      <c r="E145" s="234" t="s">
        <v>72</v>
      </c>
      <c r="F145" s="235"/>
      <c r="G145" s="235"/>
      <c r="H145" s="235">
        <v>472.06</v>
      </c>
      <c r="I145" s="235">
        <v>62.531168700000002</v>
      </c>
      <c r="J145" s="235">
        <f t="shared" si="30"/>
        <v>62.531168700000002</v>
      </c>
      <c r="K145" s="235">
        <f t="shared" si="13"/>
        <v>31.265584350000001</v>
      </c>
      <c r="L145" s="235">
        <f t="shared" si="14"/>
        <v>0.51900577347391186</v>
      </c>
      <c r="M145" s="235">
        <f t="shared" si="15"/>
        <v>245.00186542609484</v>
      </c>
      <c r="N145" s="235">
        <f t="shared" si="16"/>
        <v>490.00373085218968</v>
      </c>
      <c r="O145" s="235">
        <f>+C138+D139+D140+D141+D142+D143+D144+(D145/2)</f>
        <v>0</v>
      </c>
      <c r="P145" s="235">
        <f t="shared" si="17"/>
        <v>0</v>
      </c>
      <c r="Q145" s="235">
        <f t="shared" si="18"/>
        <v>0</v>
      </c>
      <c r="R145" s="235">
        <f t="shared" si="19"/>
        <v>343.49989132317432</v>
      </c>
      <c r="S145" s="235">
        <f t="shared" si="31"/>
        <v>343.49989132317432</v>
      </c>
      <c r="T145" s="235">
        <f t="shared" si="5"/>
        <v>343.49989132317432</v>
      </c>
      <c r="U145" s="235"/>
      <c r="V145" s="235">
        <f t="shared" si="6"/>
        <v>0</v>
      </c>
      <c r="W145" s="235"/>
      <c r="X145" s="235"/>
      <c r="Y145" s="235"/>
      <c r="Z145" s="235"/>
      <c r="AA145" s="235"/>
      <c r="AB145" s="235"/>
      <c r="AC145" s="339" t="b">
        <f>IF(AD145=8,AF145)</f>
        <v>0</v>
      </c>
      <c r="AD145" s="339">
        <f t="shared" si="7"/>
        <v>1</v>
      </c>
      <c r="AE145" s="339">
        <f>IF(V145=0,0,8)</f>
        <v>0</v>
      </c>
      <c r="AF145" s="340">
        <f>SUM(V145:V149)/($B$135-B144)</f>
        <v>0</v>
      </c>
      <c r="AG145" s="353">
        <f>SUM(D139:D145)+$C$138</f>
        <v>0</v>
      </c>
      <c r="AH145" s="342" t="b">
        <f t="shared" si="8"/>
        <v>0</v>
      </c>
      <c r="AI145" s="343">
        <f t="shared" si="20"/>
        <v>54.5017821</v>
      </c>
      <c r="AJ145" s="344">
        <f t="shared" si="32"/>
        <v>0.81413357986421619</v>
      </c>
      <c r="AK145" s="293">
        <f t="shared" si="21"/>
        <v>343.49924001631013</v>
      </c>
      <c r="AL145" s="343">
        <f t="shared" si="22"/>
        <v>58.734415599999998</v>
      </c>
      <c r="AM145" s="345">
        <f t="shared" si="23"/>
        <v>0.85477073319485097</v>
      </c>
      <c r="AN145" s="293">
        <f t="shared" si="24"/>
        <v>403.50307231196138</v>
      </c>
      <c r="AO145" s="346">
        <f t="shared" si="9"/>
        <v>-19.930120696324952</v>
      </c>
      <c r="AP145" s="980">
        <f t="shared" si="33"/>
        <v>-342</v>
      </c>
      <c r="AQ145" s="346">
        <f t="shared" si="10"/>
        <v>-310.2</v>
      </c>
      <c r="AR145" s="347">
        <f t="shared" si="25"/>
        <v>747.0023123282715</v>
      </c>
      <c r="AS145" s="348">
        <f t="shared" si="35"/>
        <v>-403.50307231196138</v>
      </c>
      <c r="AT145" s="349">
        <f t="shared" si="26"/>
        <v>383.57295161563644</v>
      </c>
      <c r="AU145" s="348">
        <f t="shared" si="34"/>
        <v>403.50307231196138</v>
      </c>
      <c r="AV145" s="350">
        <f t="shared" si="27"/>
        <v>-150.91758865067268</v>
      </c>
      <c r="AW145" s="350">
        <f t="shared" si="28"/>
        <v>-159.2824113493273</v>
      </c>
      <c r="AX145" s="351">
        <f t="shared" si="11"/>
        <v>-76.863141690200166</v>
      </c>
      <c r="AY145" s="351">
        <f t="shared" si="12"/>
        <v>-72.826622234891161</v>
      </c>
      <c r="AZ145" s="354">
        <f t="shared" si="29"/>
        <v>76.863141690200166</v>
      </c>
      <c r="BA145" s="354">
        <f t="shared" si="29"/>
        <v>72.826622234891161</v>
      </c>
      <c r="BC145" s="243"/>
      <c r="BE145" s="119"/>
      <c r="BF145" s="119"/>
      <c r="BG145" s="119"/>
      <c r="BH145" s="119"/>
      <c r="BM145" s="197"/>
      <c r="BN145" s="197"/>
      <c r="BO145" s="197"/>
    </row>
    <row r="146" spans="2:67" ht="21" thickBot="1" x14ac:dyDescent="0.35">
      <c r="B146" s="244">
        <v>9</v>
      </c>
      <c r="C146" s="245"/>
      <c r="D146" s="16">
        <v>0</v>
      </c>
      <c r="E146" s="234" t="s">
        <v>72</v>
      </c>
      <c r="F146" s="235"/>
      <c r="G146" s="235"/>
      <c r="H146" s="235">
        <v>472.06</v>
      </c>
      <c r="I146" s="235">
        <v>62.531168700000002</v>
      </c>
      <c r="J146" s="235">
        <f t="shared" si="30"/>
        <v>62.531168700000002</v>
      </c>
      <c r="K146" s="235">
        <f t="shared" si="13"/>
        <v>31.265584350000001</v>
      </c>
      <c r="L146" s="235">
        <f t="shared" si="14"/>
        <v>0.51900577347391186</v>
      </c>
      <c r="M146" s="235">
        <f t="shared" si="15"/>
        <v>245.00186542609484</v>
      </c>
      <c r="N146" s="235">
        <f t="shared" si="16"/>
        <v>490.00373085218968</v>
      </c>
      <c r="O146" s="235">
        <f>+C138+D139+D140+D141+D142+D143+D144+D145+(D146/2)</f>
        <v>0</v>
      </c>
      <c r="P146" s="235">
        <f t="shared" si="17"/>
        <v>0</v>
      </c>
      <c r="Q146" s="235">
        <f t="shared" si="18"/>
        <v>0</v>
      </c>
      <c r="R146" s="235">
        <f t="shared" si="19"/>
        <v>343.49989132317432</v>
      </c>
      <c r="S146" s="235">
        <f t="shared" si="31"/>
        <v>343.49989132317432</v>
      </c>
      <c r="T146" s="235">
        <f t="shared" si="5"/>
        <v>343.49989132317432</v>
      </c>
      <c r="U146" s="235"/>
      <c r="V146" s="235">
        <f t="shared" si="6"/>
        <v>0</v>
      </c>
      <c r="W146" s="235"/>
      <c r="X146" s="235"/>
      <c r="Y146" s="235"/>
      <c r="Z146" s="235"/>
      <c r="AA146" s="235"/>
      <c r="AB146" s="235"/>
      <c r="AC146" s="339" t="b">
        <f>IF(AD146=9,AF146)</f>
        <v>0</v>
      </c>
      <c r="AD146" s="339">
        <f t="shared" si="7"/>
        <v>1</v>
      </c>
      <c r="AE146" s="339">
        <f>IF(V146=0,0,9)</f>
        <v>0</v>
      </c>
      <c r="AF146" s="340">
        <f>SUM(V146:V149)/($B$135-B145)</f>
        <v>0</v>
      </c>
      <c r="AG146" s="353">
        <f>SUM(D139:D146)+$C$138</f>
        <v>0</v>
      </c>
      <c r="AH146" s="342" t="b">
        <f t="shared" si="8"/>
        <v>0</v>
      </c>
      <c r="AI146" s="343">
        <f t="shared" si="20"/>
        <v>54.5017821</v>
      </c>
      <c r="AJ146" s="344">
        <f t="shared" si="32"/>
        <v>0.81413357986421619</v>
      </c>
      <c r="AK146" s="293">
        <f t="shared" si="21"/>
        <v>343.49924001631013</v>
      </c>
      <c r="AL146" s="343">
        <f t="shared" si="22"/>
        <v>58.734415599999998</v>
      </c>
      <c r="AM146" s="345">
        <f t="shared" si="23"/>
        <v>0.85477073319485097</v>
      </c>
      <c r="AN146" s="293">
        <f t="shared" si="24"/>
        <v>403.50307231196138</v>
      </c>
      <c r="AO146" s="346">
        <f t="shared" si="9"/>
        <v>-16.836392810457518</v>
      </c>
      <c r="AP146" s="980">
        <f t="shared" si="33"/>
        <v>-399</v>
      </c>
      <c r="AQ146" s="346">
        <f t="shared" si="10"/>
        <v>-367.2</v>
      </c>
      <c r="AR146" s="347">
        <f t="shared" si="25"/>
        <v>747.0023123282715</v>
      </c>
      <c r="AS146" s="348">
        <f t="shared" si="35"/>
        <v>-403.50307231196138</v>
      </c>
      <c r="AT146" s="349">
        <f t="shared" si="26"/>
        <v>386.66667950150384</v>
      </c>
      <c r="AU146" s="348">
        <f t="shared" si="34"/>
        <v>403.50307231196138</v>
      </c>
      <c r="AV146" s="350">
        <f t="shared" si="27"/>
        <v>-177.12829289856725</v>
      </c>
      <c r="AW146" s="350">
        <f t="shared" si="28"/>
        <v>-190.07170710143276</v>
      </c>
      <c r="AX146" s="351">
        <f t="shared" si="11"/>
        <v>-65.489255331121811</v>
      </c>
      <c r="AY146" s="351">
        <f t="shared" si="12"/>
        <v>-61.029598654625644</v>
      </c>
      <c r="AZ146" s="354">
        <f t="shared" si="29"/>
        <v>65.489255331121811</v>
      </c>
      <c r="BA146" s="354">
        <f t="shared" si="29"/>
        <v>61.029598654625644</v>
      </c>
      <c r="BC146" s="243"/>
      <c r="BE146" s="119"/>
      <c r="BF146" s="119"/>
      <c r="BG146" s="119"/>
      <c r="BH146" s="119"/>
      <c r="BM146" s="197"/>
      <c r="BN146" s="197"/>
      <c r="BO146" s="197"/>
    </row>
    <row r="147" spans="2:67" ht="21" thickBot="1" x14ac:dyDescent="0.35">
      <c r="B147" s="244">
        <v>10</v>
      </c>
      <c r="C147" s="245"/>
      <c r="D147" s="16">
        <v>0</v>
      </c>
      <c r="E147" s="234" t="s">
        <v>72</v>
      </c>
      <c r="F147" s="235"/>
      <c r="G147" s="235"/>
      <c r="H147" s="235">
        <v>472.06</v>
      </c>
      <c r="I147" s="235">
        <v>62.531168700000002</v>
      </c>
      <c r="J147" s="235">
        <f t="shared" si="30"/>
        <v>62.531168700000002</v>
      </c>
      <c r="K147" s="235">
        <f t="shared" si="13"/>
        <v>31.265584350000001</v>
      </c>
      <c r="L147" s="235">
        <f t="shared" si="14"/>
        <v>0.51900577347391186</v>
      </c>
      <c r="M147" s="235">
        <f t="shared" si="15"/>
        <v>245.00186542609484</v>
      </c>
      <c r="N147" s="235">
        <f t="shared" si="16"/>
        <v>490.00373085218968</v>
      </c>
      <c r="O147" s="235">
        <f>+C138+D139+D140+D141+D142+D143+D144+D145+D146+(D147/2)</f>
        <v>0</v>
      </c>
      <c r="P147" s="235">
        <f t="shared" si="17"/>
        <v>0</v>
      </c>
      <c r="Q147" s="235">
        <f t="shared" si="18"/>
        <v>0</v>
      </c>
      <c r="R147" s="235">
        <f t="shared" si="19"/>
        <v>343.49989132317432</v>
      </c>
      <c r="S147" s="235">
        <f t="shared" si="31"/>
        <v>343.49989132317432</v>
      </c>
      <c r="T147" s="235">
        <f t="shared" si="5"/>
        <v>343.49989132317432</v>
      </c>
      <c r="U147" s="235"/>
      <c r="V147" s="235">
        <f t="shared" si="6"/>
        <v>0</v>
      </c>
      <c r="W147" s="235"/>
      <c r="X147" s="235"/>
      <c r="Y147" s="235"/>
      <c r="Z147" s="235"/>
      <c r="AA147" s="235"/>
      <c r="AB147" s="235"/>
      <c r="AC147" s="339" t="b">
        <f>IF(AD147=10,AF147)</f>
        <v>0</v>
      </c>
      <c r="AD147" s="339">
        <f t="shared" si="7"/>
        <v>1</v>
      </c>
      <c r="AE147" s="339">
        <f>IF(V147=0,0,10)</f>
        <v>0</v>
      </c>
      <c r="AF147" s="340">
        <f>SUM(V147:V149)/($B$135-B146)</f>
        <v>0</v>
      </c>
      <c r="AG147" s="353">
        <f>SUM(D139:D147)+$C$138</f>
        <v>0</v>
      </c>
      <c r="AH147" s="342" t="b">
        <f t="shared" si="8"/>
        <v>0</v>
      </c>
      <c r="AI147" s="343">
        <f t="shared" si="20"/>
        <v>54.5017821</v>
      </c>
      <c r="AJ147" s="344">
        <f t="shared" si="32"/>
        <v>0.81413357986421619</v>
      </c>
      <c r="AK147" s="293">
        <f t="shared" si="21"/>
        <v>343.49924001631013</v>
      </c>
      <c r="AL147" s="343">
        <f t="shared" si="22"/>
        <v>58.734415599999998</v>
      </c>
      <c r="AM147" s="345">
        <f t="shared" si="23"/>
        <v>0.85477073319485097</v>
      </c>
      <c r="AN147" s="293">
        <f t="shared" si="24"/>
        <v>403.50307231196138</v>
      </c>
      <c r="AO147" s="346">
        <f t="shared" si="9"/>
        <v>-14.574076944837342</v>
      </c>
      <c r="AP147" s="980">
        <f t="shared" si="33"/>
        <v>-456</v>
      </c>
      <c r="AQ147" s="346">
        <f t="shared" si="10"/>
        <v>-424.2</v>
      </c>
      <c r="AR147" s="347">
        <f t="shared" si="25"/>
        <v>747.0023123282715</v>
      </c>
      <c r="AS147" s="348">
        <f t="shared" si="35"/>
        <v>-403.50307231196138</v>
      </c>
      <c r="AT147" s="349">
        <f t="shared" si="26"/>
        <v>388.92899536712406</v>
      </c>
      <c r="AU147" s="348">
        <f t="shared" si="34"/>
        <v>403.50307231196138</v>
      </c>
      <c r="AV147" s="350">
        <f t="shared" si="27"/>
        <v>-203.33899714646176</v>
      </c>
      <c r="AW147" s="350">
        <f t="shared" si="28"/>
        <v>-220.86100285353822</v>
      </c>
      <c r="AX147" s="351">
        <f t="shared" si="11"/>
        <v>-57.047591277558574</v>
      </c>
      <c r="AY147" s="351">
        <f t="shared" si="12"/>
        <v>-52.521721128344346</v>
      </c>
      <c r="AZ147" s="354">
        <f t="shared" si="29"/>
        <v>57.047591277558574</v>
      </c>
      <c r="BA147" s="354">
        <f t="shared" si="29"/>
        <v>52.521721128344346</v>
      </c>
      <c r="BC147" s="243"/>
      <c r="BE147" s="119"/>
      <c r="BF147" s="119"/>
      <c r="BG147" s="119"/>
      <c r="BH147" s="119"/>
      <c r="BM147" s="197"/>
      <c r="BN147" s="197"/>
      <c r="BO147" s="197"/>
    </row>
    <row r="148" spans="2:67" ht="21" thickBot="1" x14ac:dyDescent="0.35">
      <c r="B148" s="244">
        <v>11</v>
      </c>
      <c r="C148" s="245"/>
      <c r="D148" s="16">
        <v>0</v>
      </c>
      <c r="E148" s="234" t="s">
        <v>72</v>
      </c>
      <c r="F148" s="235"/>
      <c r="G148" s="235"/>
      <c r="H148" s="235">
        <v>472.06</v>
      </c>
      <c r="I148" s="235">
        <v>62.531168700000002</v>
      </c>
      <c r="J148" s="235">
        <f t="shared" si="30"/>
        <v>62.531168700000002</v>
      </c>
      <c r="K148" s="235">
        <f t="shared" si="13"/>
        <v>31.265584350000001</v>
      </c>
      <c r="L148" s="235">
        <f t="shared" si="14"/>
        <v>0.51900577347391186</v>
      </c>
      <c r="M148" s="235">
        <f t="shared" si="15"/>
        <v>245.00186542609484</v>
      </c>
      <c r="N148" s="235">
        <f t="shared" si="16"/>
        <v>490.00373085218968</v>
      </c>
      <c r="O148" s="235">
        <f>+C138+D139+D140+D141+D142+D143+D144+D145+D146+D147+(D148/2)</f>
        <v>0</v>
      </c>
      <c r="P148" s="235">
        <f t="shared" si="17"/>
        <v>0</v>
      </c>
      <c r="Q148" s="235">
        <f t="shared" si="18"/>
        <v>0</v>
      </c>
      <c r="R148" s="235">
        <f t="shared" si="19"/>
        <v>343.49989132317432</v>
      </c>
      <c r="S148" s="235">
        <f t="shared" si="31"/>
        <v>343.49989132317432</v>
      </c>
      <c r="T148" s="235">
        <f t="shared" si="5"/>
        <v>343.49989132317432</v>
      </c>
      <c r="U148" s="235"/>
      <c r="V148" s="235">
        <f t="shared" si="6"/>
        <v>0</v>
      </c>
      <c r="W148" s="235"/>
      <c r="X148" s="235"/>
      <c r="Y148" s="235"/>
      <c r="Z148" s="235"/>
      <c r="AA148" s="235"/>
      <c r="AB148" s="235"/>
      <c r="AC148" s="339" t="b">
        <f>IF(AD148=11,AF148)</f>
        <v>0</v>
      </c>
      <c r="AD148" s="339">
        <f t="shared" si="7"/>
        <v>1</v>
      </c>
      <c r="AE148" s="339">
        <f>IF(V148=0,0,11)</f>
        <v>0</v>
      </c>
      <c r="AF148" s="340">
        <f>SUM(V148:V149)/($B$135-B147)</f>
        <v>0</v>
      </c>
      <c r="AG148" s="353">
        <f>SUM(D139:D148)+$C$138</f>
        <v>0</v>
      </c>
      <c r="AH148" s="342" t="b">
        <f t="shared" si="8"/>
        <v>0</v>
      </c>
      <c r="AI148" s="343">
        <f t="shared" si="20"/>
        <v>54.5017821</v>
      </c>
      <c r="AJ148" s="344">
        <f t="shared" si="32"/>
        <v>0.81413357986421619</v>
      </c>
      <c r="AK148" s="293">
        <f t="shared" si="21"/>
        <v>343.49924001631013</v>
      </c>
      <c r="AL148" s="343">
        <f t="shared" si="22"/>
        <v>58.734415599999998</v>
      </c>
      <c r="AM148" s="345">
        <f t="shared" si="23"/>
        <v>0.85477073319485097</v>
      </c>
      <c r="AN148" s="293">
        <f t="shared" si="24"/>
        <v>403.50307231196138</v>
      </c>
      <c r="AO148" s="346">
        <f t="shared" si="9"/>
        <v>-12.847721197007482</v>
      </c>
      <c r="AP148" s="980">
        <f t="shared" si="33"/>
        <v>-513</v>
      </c>
      <c r="AQ148" s="346">
        <f t="shared" si="10"/>
        <v>-481.2</v>
      </c>
      <c r="AR148" s="347">
        <f t="shared" si="25"/>
        <v>747.0023123282715</v>
      </c>
      <c r="AS148" s="348">
        <f t="shared" si="35"/>
        <v>-403.50307231196138</v>
      </c>
      <c r="AT148" s="349">
        <f t="shared" si="26"/>
        <v>390.65535111495387</v>
      </c>
      <c r="AU148" s="348">
        <f t="shared" si="34"/>
        <v>403.50307231196138</v>
      </c>
      <c r="AV148" s="350">
        <f t="shared" si="27"/>
        <v>-229.54970139435636</v>
      </c>
      <c r="AW148" s="350">
        <f t="shared" si="28"/>
        <v>-251.65029860564363</v>
      </c>
      <c r="AX148" s="351">
        <f t="shared" si="11"/>
        <v>-50.533718534757348</v>
      </c>
      <c r="AY148" s="351">
        <f t="shared" si="12"/>
        <v>-46.095713234889253</v>
      </c>
      <c r="AZ148" s="354">
        <f t="shared" si="29"/>
        <v>50.533718534757348</v>
      </c>
      <c r="BA148" s="354">
        <f t="shared" si="29"/>
        <v>46.095713234889253</v>
      </c>
      <c r="BC148" s="243"/>
      <c r="BE148" s="119"/>
      <c r="BF148" s="119"/>
      <c r="BG148" s="119"/>
      <c r="BH148" s="119"/>
      <c r="BM148" s="197"/>
      <c r="BN148" s="197"/>
      <c r="BO148" s="197"/>
    </row>
    <row r="149" spans="2:67" ht="21" thickBot="1" x14ac:dyDescent="0.35">
      <c r="B149" s="244">
        <v>12</v>
      </c>
      <c r="C149" s="245"/>
      <c r="D149" s="16">
        <v>0</v>
      </c>
      <c r="E149" s="234" t="s">
        <v>72</v>
      </c>
      <c r="F149" s="235"/>
      <c r="G149" s="235"/>
      <c r="H149" s="235">
        <v>472.06</v>
      </c>
      <c r="I149" s="235">
        <v>62.531168700000002</v>
      </c>
      <c r="J149" s="235">
        <f t="shared" si="30"/>
        <v>62.531168700000002</v>
      </c>
      <c r="K149" s="235">
        <f t="shared" si="13"/>
        <v>31.265584350000001</v>
      </c>
      <c r="L149" s="235">
        <f t="shared" si="14"/>
        <v>0.51900577347391186</v>
      </c>
      <c r="M149" s="235">
        <f t="shared" si="15"/>
        <v>245.00186542609484</v>
      </c>
      <c r="N149" s="235">
        <f t="shared" si="16"/>
        <v>490.00373085218968</v>
      </c>
      <c r="O149" s="235">
        <f>+C138+D139+D140+D141+D142+D143+D144+D145+D146+D147+D148+(D149/2)</f>
        <v>0</v>
      </c>
      <c r="P149" s="235">
        <f t="shared" si="17"/>
        <v>0</v>
      </c>
      <c r="Q149" s="235">
        <f t="shared" si="18"/>
        <v>0</v>
      </c>
      <c r="R149" s="235">
        <f t="shared" si="19"/>
        <v>343.49989132317432</v>
      </c>
      <c r="S149" s="235">
        <f t="shared" si="31"/>
        <v>343.49989132317432</v>
      </c>
      <c r="T149" s="235">
        <f t="shared" si="5"/>
        <v>343.49989132317432</v>
      </c>
      <c r="U149" s="235"/>
      <c r="V149" s="235">
        <f t="shared" si="6"/>
        <v>0</v>
      </c>
      <c r="W149" s="235"/>
      <c r="X149" s="235"/>
      <c r="Y149" s="235"/>
      <c r="Z149" s="235"/>
      <c r="AA149" s="235"/>
      <c r="AB149" s="235"/>
      <c r="AC149" s="339" t="b">
        <f>IF(AD149=12,AF149)</f>
        <v>0</v>
      </c>
      <c r="AD149" s="339">
        <f t="shared" si="7"/>
        <v>1</v>
      </c>
      <c r="AE149" s="339">
        <f>IF(V149=0,0,12)</f>
        <v>0</v>
      </c>
      <c r="AF149" s="340">
        <f>SUM(V149)/($B$135-B148)</f>
        <v>0</v>
      </c>
      <c r="AG149" s="353">
        <f>SUM(D139:D149)+$C$138</f>
        <v>0</v>
      </c>
      <c r="AH149" s="342" t="b">
        <f t="shared" si="8"/>
        <v>0</v>
      </c>
      <c r="AI149" s="343">
        <f t="shared" si="20"/>
        <v>54.5017821</v>
      </c>
      <c r="AJ149" s="344">
        <f t="shared" si="32"/>
        <v>0.81413357986421619</v>
      </c>
      <c r="AK149" s="293">
        <f t="shared" si="21"/>
        <v>343.49924001631013</v>
      </c>
      <c r="AL149" s="343">
        <f t="shared" si="22"/>
        <v>58.734415599999998</v>
      </c>
      <c r="AM149" s="345">
        <f t="shared" si="23"/>
        <v>0.85477073319485097</v>
      </c>
      <c r="AN149" s="293">
        <f t="shared" si="24"/>
        <v>403.50307231196138</v>
      </c>
      <c r="AO149" s="346">
        <f t="shared" si="9"/>
        <v>-11.48703723522854</v>
      </c>
      <c r="AP149" s="980">
        <f t="shared" si="33"/>
        <v>-570</v>
      </c>
      <c r="AQ149" s="346">
        <f t="shared" si="10"/>
        <v>-538.20000000000005</v>
      </c>
      <c r="AR149" s="347">
        <f t="shared" si="25"/>
        <v>747.0023123282715</v>
      </c>
      <c r="AS149" s="348">
        <f t="shared" si="35"/>
        <v>-403.50307231196138</v>
      </c>
      <c r="AT149" s="349">
        <f t="shared" si="26"/>
        <v>392.01603507673286</v>
      </c>
      <c r="AU149" s="348">
        <f t="shared" si="34"/>
        <v>403.50307231196138</v>
      </c>
      <c r="AV149" s="350">
        <f t="shared" si="27"/>
        <v>-255.76040564225087</v>
      </c>
      <c r="AW149" s="350">
        <f t="shared" si="28"/>
        <v>-282.43959435774912</v>
      </c>
      <c r="AX149" s="351">
        <f t="shared" si="11"/>
        <v>-45.354948397390693</v>
      </c>
      <c r="AY149" s="351">
        <f t="shared" si="12"/>
        <v>-41.070728862848398</v>
      </c>
      <c r="AZ149" s="354">
        <f t="shared" si="29"/>
        <v>45.354948397390693</v>
      </c>
      <c r="BA149" s="354">
        <f t="shared" si="29"/>
        <v>41.070728862848398</v>
      </c>
      <c r="BC149" s="243"/>
      <c r="BE149" s="119"/>
      <c r="BF149" s="119"/>
      <c r="BG149" s="119"/>
      <c r="BH149" s="119"/>
      <c r="BM149" s="197"/>
      <c r="BN149" s="197"/>
      <c r="BO149" s="197"/>
    </row>
    <row r="150" spans="2:67" ht="21" hidden="1" thickBot="1" x14ac:dyDescent="0.35">
      <c r="U150" s="243"/>
      <c r="AG150" s="355" t="s">
        <v>71</v>
      </c>
      <c r="AH150" s="356">
        <f>MAX(AH138:AH149)</f>
        <v>0</v>
      </c>
      <c r="BC150" s="243"/>
      <c r="BE150" s="119"/>
      <c r="BF150" s="119"/>
      <c r="BG150" s="119"/>
      <c r="BH150" s="119"/>
      <c r="BM150" s="197"/>
      <c r="BN150" s="197"/>
      <c r="BO150" s="197"/>
    </row>
    <row r="151" spans="2:67" ht="20" hidden="1" x14ac:dyDescent="0.3">
      <c r="B151" s="286"/>
      <c r="U151" s="243"/>
      <c r="AV151" s="360" t="s">
        <v>310</v>
      </c>
      <c r="AW151" s="360"/>
      <c r="AX151" s="360"/>
      <c r="AY151" s="360"/>
      <c r="BC151" s="243"/>
      <c r="BE151" s="119"/>
      <c r="BF151" s="119"/>
      <c r="BG151" s="119"/>
      <c r="BH151" s="119"/>
      <c r="BI151" s="119"/>
      <c r="BK151" s="119"/>
      <c r="BL151" s="119"/>
      <c r="BM151" s="197"/>
      <c r="BN151" s="197"/>
      <c r="BO151" s="197"/>
    </row>
    <row r="152" spans="2:67" ht="20" hidden="1" x14ac:dyDescent="0.3">
      <c r="B152" s="286"/>
      <c r="AB152" s="318"/>
      <c r="AC152" s="318"/>
      <c r="AD152" s="318"/>
      <c r="AE152" s="318"/>
      <c r="AV152" s="1059" t="s">
        <v>311</v>
      </c>
      <c r="AW152" s="360" t="s">
        <v>315</v>
      </c>
      <c r="AX152" s="1059" t="s">
        <v>312</v>
      </c>
      <c r="AY152" s="360"/>
      <c r="BE152" s="119"/>
      <c r="BF152" s="119"/>
      <c r="BG152" s="119"/>
      <c r="BH152" s="119"/>
      <c r="BI152" s="119"/>
      <c r="BJ152" s="119"/>
      <c r="BK152" s="119"/>
      <c r="BL152" s="119"/>
      <c r="BM152" s="197"/>
      <c r="BN152" s="197"/>
      <c r="BO152" s="197"/>
    </row>
    <row r="153" spans="2:67" ht="20" hidden="1" x14ac:dyDescent="0.3">
      <c r="V153" s="170"/>
      <c r="W153" s="170"/>
      <c r="X153" s="170"/>
      <c r="Y153" s="170"/>
      <c r="Z153" s="170"/>
      <c r="AA153" s="170"/>
      <c r="AB153" s="170"/>
      <c r="AC153" s="170"/>
      <c r="AD153" s="170"/>
      <c r="AE153" s="170"/>
      <c r="AF153" s="170"/>
      <c r="AG153" s="170"/>
      <c r="AH153" s="170"/>
      <c r="AI153" s="170"/>
      <c r="AJ153" s="170"/>
      <c r="AK153" s="170"/>
      <c r="AL153" s="170"/>
      <c r="AM153" s="170"/>
      <c r="AN153" s="170"/>
      <c r="AO153" s="170"/>
      <c r="AP153" s="170"/>
      <c r="AQ153" s="170"/>
      <c r="AR153" s="170"/>
      <c r="AS153" s="170"/>
      <c r="AT153" s="170"/>
      <c r="AU153" s="57"/>
      <c r="AV153" s="187">
        <v>25.873000000000001</v>
      </c>
      <c r="AW153" s="360">
        <f>+SIN((AV153+AH150)*3.14159265358979/180)</f>
        <v>0.43637783326748053</v>
      </c>
      <c r="AX153" s="187">
        <f>+AW159/AW153</f>
        <v>28.772952032779898</v>
      </c>
      <c r="AY153" s="187"/>
      <c r="AZ153" s="170"/>
      <c r="BA153" s="170"/>
      <c r="BB153" s="109"/>
      <c r="BE153" s="119"/>
      <c r="BF153" s="119"/>
      <c r="BG153" s="119"/>
      <c r="BH153" s="119"/>
      <c r="BI153" s="119"/>
      <c r="BJ153" s="119"/>
      <c r="BK153" s="119"/>
      <c r="BL153" s="119"/>
      <c r="BM153" s="197"/>
      <c r="BN153" s="197"/>
      <c r="BO153" s="197"/>
    </row>
    <row r="154" spans="2:67" ht="21" thickBot="1" x14ac:dyDescent="0.35">
      <c r="V154" s="170"/>
      <c r="W154" s="170"/>
      <c r="X154" s="170"/>
      <c r="Y154" s="170"/>
      <c r="Z154" s="170"/>
      <c r="AA154" s="170"/>
      <c r="AB154" s="170"/>
      <c r="AC154" s="170"/>
      <c r="AD154" s="170"/>
      <c r="AE154" s="170"/>
      <c r="AF154" s="170"/>
      <c r="AG154" s="170"/>
      <c r="AH154" s="170"/>
      <c r="AI154" s="170"/>
      <c r="AJ154" s="170"/>
      <c r="AK154" s="170"/>
      <c r="AL154" s="170"/>
      <c r="AM154" s="170"/>
      <c r="AN154" s="170"/>
      <c r="AO154" s="170"/>
      <c r="AP154" s="170"/>
      <c r="AQ154" s="170"/>
      <c r="AR154" s="170"/>
      <c r="AS154" s="170"/>
      <c r="AT154" s="170"/>
      <c r="AU154" s="57"/>
      <c r="AV154" s="187"/>
      <c r="AW154" s="360"/>
      <c r="AX154" s="187"/>
      <c r="AY154" s="187"/>
      <c r="AZ154" s="170"/>
      <c r="BA154" s="170"/>
      <c r="BB154" s="109"/>
      <c r="BE154" s="119"/>
      <c r="BF154" s="119"/>
      <c r="BG154" s="119"/>
      <c r="BH154" s="119"/>
      <c r="BI154" s="119"/>
      <c r="BJ154" s="119"/>
      <c r="BK154" s="119"/>
      <c r="BL154" s="119"/>
      <c r="BM154" s="197"/>
      <c r="BN154" s="197"/>
      <c r="BO154" s="197"/>
    </row>
    <row r="155" spans="2:67" ht="70.5" customHeight="1" thickBot="1" x14ac:dyDescent="0.35">
      <c r="B155" s="284" t="s">
        <v>260</v>
      </c>
      <c r="C155" s="357"/>
      <c r="D155" s="358"/>
      <c r="E155" s="26"/>
      <c r="F155" s="26"/>
      <c r="G155" s="26"/>
      <c r="H155" s="359"/>
      <c r="I155" s="359"/>
      <c r="J155" s="359"/>
      <c r="K155" s="359"/>
      <c r="L155" s="359"/>
      <c r="M155" s="359"/>
      <c r="N155" s="359"/>
      <c r="O155" s="359"/>
      <c r="P155" s="359"/>
      <c r="Q155" s="359"/>
      <c r="R155" s="359"/>
      <c r="S155" s="360" t="s">
        <v>261</v>
      </c>
      <c r="T155" s="360">
        <f>SUM(V159:V164)/B156</f>
        <v>211.0008</v>
      </c>
      <c r="U155" s="195"/>
      <c r="V155" s="170"/>
      <c r="W155" s="170"/>
      <c r="X155" s="170"/>
      <c r="Y155" s="170"/>
      <c r="Z155" s="170"/>
      <c r="AA155" s="170"/>
      <c r="AB155" s="170"/>
      <c r="AC155" s="170"/>
      <c r="AD155" s="170"/>
      <c r="AE155" s="170"/>
      <c r="AF155" s="170"/>
      <c r="AG155" s="170"/>
      <c r="AH155" s="170"/>
      <c r="AI155" s="170"/>
      <c r="AJ155" s="170"/>
      <c r="AK155" s="170"/>
      <c r="AL155" s="170"/>
      <c r="AM155" s="170"/>
      <c r="AN155" s="170"/>
      <c r="AO155" s="170"/>
      <c r="AP155" s="170"/>
      <c r="AQ155" s="170"/>
      <c r="AR155" s="170"/>
      <c r="AS155" s="170"/>
      <c r="AT155" s="170"/>
      <c r="AU155" s="170"/>
      <c r="AV155" s="187"/>
      <c r="AW155" s="187"/>
      <c r="AX155" s="1060" t="s">
        <v>313</v>
      </c>
      <c r="AY155" s="1061">
        <v>1800</v>
      </c>
      <c r="AZ155" s="170"/>
      <c r="BA155" s="170"/>
      <c r="BB155" s="109"/>
      <c r="BC155" s="361"/>
      <c r="BD155" s="361"/>
      <c r="BE155" s="119"/>
      <c r="BF155" s="119"/>
      <c r="BG155" s="119"/>
      <c r="BH155" s="119"/>
      <c r="BI155" s="119"/>
      <c r="BJ155" s="119"/>
      <c r="BK155" s="119"/>
      <c r="BL155" s="119"/>
      <c r="BM155" s="197"/>
      <c r="BN155" s="197"/>
      <c r="BO155" s="197"/>
    </row>
    <row r="156" spans="2:67" ht="29" thickBot="1" x14ac:dyDescent="0.35">
      <c r="B156" s="17">
        <v>1</v>
      </c>
      <c r="C156" s="199"/>
      <c r="D156" s="362" t="s">
        <v>214</v>
      </c>
      <c r="E156" s="277"/>
      <c r="F156" s="277"/>
      <c r="G156" s="277"/>
      <c r="H156" s="902" t="s">
        <v>227</v>
      </c>
      <c r="I156" s="902" t="s">
        <v>216</v>
      </c>
      <c r="J156" s="363"/>
      <c r="K156" s="363"/>
      <c r="L156" s="363"/>
      <c r="M156" s="363"/>
      <c r="N156" s="363"/>
      <c r="O156" s="363"/>
      <c r="P156" s="363"/>
      <c r="Q156" s="363"/>
      <c r="R156" s="363"/>
      <c r="S156" s="364"/>
      <c r="T156" s="365"/>
      <c r="U156" s="304"/>
      <c r="V156" s="366"/>
      <c r="W156" s="366"/>
      <c r="X156" s="366"/>
      <c r="Y156" s="366"/>
      <c r="Z156" s="366"/>
      <c r="AA156" s="366"/>
      <c r="AB156" s="366"/>
      <c r="AC156" s="366"/>
      <c r="AD156" s="366"/>
      <c r="AE156" s="366"/>
      <c r="AF156" s="366"/>
      <c r="AG156" s="366"/>
      <c r="AH156" s="366"/>
      <c r="AI156" s="366"/>
      <c r="AJ156" s="366"/>
      <c r="AK156" s="366"/>
      <c r="AL156" s="366"/>
      <c r="AM156" s="366"/>
      <c r="AN156" s="366"/>
      <c r="AO156" s="366"/>
      <c r="AP156" s="366"/>
      <c r="AQ156" s="366"/>
      <c r="AR156" s="366"/>
      <c r="AS156" s="366"/>
      <c r="AT156" s="366"/>
      <c r="AU156" s="366"/>
      <c r="AV156" s="1063"/>
      <c r="AW156" s="1063"/>
      <c r="AX156" s="1060" t="s">
        <v>314</v>
      </c>
      <c r="AY156" s="1062">
        <f>+AY155/SIN((AV153)*3.14159265358979/180)</f>
        <v>4124.8657992595117</v>
      </c>
      <c r="AZ156" s="1137" t="s">
        <v>46</v>
      </c>
      <c r="BA156" s="1116"/>
      <c r="BB156" s="201"/>
      <c r="BC156" s="127"/>
      <c r="BD156" s="127"/>
      <c r="BE156" s="119"/>
      <c r="BF156" s="119"/>
      <c r="BG156" s="119"/>
      <c r="BH156" s="119"/>
      <c r="BI156" s="119"/>
      <c r="BJ156" s="119"/>
      <c r="BK156" s="119"/>
      <c r="BL156" s="119"/>
      <c r="BM156" s="197"/>
      <c r="BN156" s="197"/>
      <c r="BO156" s="197"/>
    </row>
    <row r="157" spans="2:67" ht="75" hidden="1" customHeight="1" thickBot="1" x14ac:dyDescent="0.35">
      <c r="C157" s="319"/>
      <c r="D157" s="287" t="s">
        <v>13</v>
      </c>
      <c r="H157" s="903" t="s">
        <v>4</v>
      </c>
      <c r="I157" s="904" t="s">
        <v>1</v>
      </c>
      <c r="J157" s="359" t="s">
        <v>0</v>
      </c>
      <c r="K157" s="359" t="s">
        <v>2</v>
      </c>
      <c r="L157" s="359" t="s">
        <v>3</v>
      </c>
      <c r="M157" s="359" t="s">
        <v>8</v>
      </c>
      <c r="N157" s="359" t="s">
        <v>5</v>
      </c>
      <c r="O157" s="359" t="s">
        <v>6</v>
      </c>
      <c r="P157" s="359" t="s">
        <v>7</v>
      </c>
      <c r="Q157" s="359" t="s">
        <v>9</v>
      </c>
      <c r="R157" s="367" t="s">
        <v>10</v>
      </c>
      <c r="S157" s="359" t="s">
        <v>11</v>
      </c>
      <c r="T157" s="368" t="s">
        <v>12</v>
      </c>
      <c r="V157" s="323"/>
      <c r="W157" s="323"/>
      <c r="X157" s="323"/>
      <c r="Y157" s="323"/>
      <c r="Z157" s="323"/>
      <c r="AA157" s="323"/>
      <c r="AB157" s="42" t="s">
        <v>248</v>
      </c>
      <c r="AC157" s="323"/>
      <c r="AD157" s="323"/>
      <c r="AE157" s="323"/>
      <c r="AF157" s="323"/>
      <c r="AG157" s="323"/>
      <c r="AH157" s="323"/>
      <c r="AI157" s="901" t="s">
        <v>217</v>
      </c>
      <c r="AJ157" s="323"/>
      <c r="AK157" s="901" t="s">
        <v>225</v>
      </c>
      <c r="AL157" s="901" t="s">
        <v>219</v>
      </c>
      <c r="AM157" s="323"/>
      <c r="AN157" s="901" t="s">
        <v>226</v>
      </c>
      <c r="AO157" s="323"/>
      <c r="AP157" s="901" t="s">
        <v>224</v>
      </c>
      <c r="AQ157" s="323"/>
      <c r="AR157" s="323"/>
      <c r="AS157" s="323"/>
      <c r="AT157" s="323"/>
      <c r="AU157" s="323"/>
      <c r="AV157" s="323"/>
      <c r="AW157" s="323"/>
      <c r="AX157" s="318"/>
      <c r="AY157" s="1062">
        <v>4124.8657992595117</v>
      </c>
      <c r="AZ157" s="323"/>
      <c r="BA157" s="323"/>
      <c r="BB157" s="212"/>
      <c r="BC157" s="209"/>
      <c r="BE157" s="119"/>
      <c r="BF157" s="119"/>
      <c r="BG157" s="119"/>
      <c r="BH157" s="119"/>
      <c r="BI157" s="119"/>
      <c r="BJ157" s="119"/>
      <c r="BK157" s="119"/>
      <c r="BL157" s="119"/>
      <c r="BM157" s="197"/>
      <c r="BN157" s="197"/>
      <c r="BO157" s="197"/>
    </row>
    <row r="158" spans="2:67" ht="28.5" customHeight="1" thickBot="1" x14ac:dyDescent="0.25">
      <c r="B158" s="324"/>
      <c r="C158" s="325"/>
      <c r="D158" s="285" t="s">
        <v>20</v>
      </c>
      <c r="E158" s="277"/>
      <c r="F158" s="369"/>
      <c r="G158" s="221"/>
      <c r="H158" s="370"/>
      <c r="I158" s="371"/>
      <c r="R158" s="367"/>
      <c r="T158" s="372"/>
      <c r="V158" s="323"/>
      <c r="W158" s="323"/>
      <c r="X158" s="323"/>
      <c r="Y158" s="323"/>
      <c r="Z158" s="323"/>
      <c r="AA158" s="323"/>
      <c r="AB158" s="323"/>
      <c r="AC158" s="323"/>
      <c r="AD158" s="323"/>
      <c r="AE158" s="323"/>
      <c r="AF158" s="1002" t="s">
        <v>36</v>
      </c>
      <c r="AG158" s="328" t="s">
        <v>29</v>
      </c>
      <c r="AH158" s="328"/>
      <c r="AI158" s="905" t="s">
        <v>218</v>
      </c>
      <c r="AJ158" s="329" t="s">
        <v>30</v>
      </c>
      <c r="AK158" s="907" t="s">
        <v>31</v>
      </c>
      <c r="AL158" s="905" t="s">
        <v>220</v>
      </c>
      <c r="AM158" s="330" t="s">
        <v>32</v>
      </c>
      <c r="AN158" s="905" t="s">
        <v>33</v>
      </c>
      <c r="AO158" s="330"/>
      <c r="AP158" s="373" t="s">
        <v>34</v>
      </c>
      <c r="AQ158" s="323"/>
      <c r="AR158" s="323" t="s">
        <v>35</v>
      </c>
      <c r="AS158" s="323" t="s">
        <v>37</v>
      </c>
      <c r="AT158" s="323"/>
      <c r="AU158" s="323" t="s">
        <v>38</v>
      </c>
      <c r="AV158" s="332" t="s">
        <v>39</v>
      </c>
      <c r="AW158" s="332" t="s">
        <v>40</v>
      </c>
      <c r="AX158" s="333" t="s">
        <v>21</v>
      </c>
      <c r="AY158" s="333" t="s">
        <v>22</v>
      </c>
      <c r="AZ158" s="334" t="s">
        <v>21</v>
      </c>
      <c r="BA158" s="334" t="s">
        <v>22</v>
      </c>
      <c r="BC158" s="209"/>
      <c r="BE158" s="119"/>
      <c r="BF158" s="119"/>
      <c r="BG158" s="119"/>
      <c r="BH158" s="119"/>
      <c r="BI158" s="119"/>
      <c r="BJ158" s="119"/>
      <c r="BK158" s="119"/>
      <c r="BL158" s="119"/>
    </row>
    <row r="159" spans="2:67" ht="19" thickBot="1" x14ac:dyDescent="0.25">
      <c r="B159" s="232">
        <v>1</v>
      </c>
      <c r="C159" s="233">
        <f>+AH150+D159</f>
        <v>0</v>
      </c>
      <c r="D159" s="19">
        <v>0</v>
      </c>
      <c r="E159" s="234" t="s">
        <v>126</v>
      </c>
      <c r="F159" s="235"/>
      <c r="G159" s="235">
        <f>+D159</f>
        <v>0</v>
      </c>
      <c r="H159" s="888">
        <v>251.073172</v>
      </c>
      <c r="I159" s="889">
        <v>65.636175100000003</v>
      </c>
      <c r="J159" s="374">
        <f>+I159-C159</f>
        <v>65.636175100000003</v>
      </c>
      <c r="K159" s="374">
        <f>+J159/2</f>
        <v>32.818087550000001</v>
      </c>
      <c r="L159" s="374">
        <f t="shared" ref="L159:L164" si="36">SIN(K159*3.14159265358979/180)</f>
        <v>0.54197353948789428</v>
      </c>
      <c r="M159" s="374">
        <f t="shared" ref="M159:M164" si="37">+L159*H159</f>
        <v>136.07501569929286</v>
      </c>
      <c r="N159" s="374">
        <f t="shared" ref="N159:N164" si="38">+M159*2</f>
        <v>272.15003139858572</v>
      </c>
      <c r="O159" s="374">
        <f>+C159/2</f>
        <v>0</v>
      </c>
      <c r="P159" s="374">
        <f t="shared" ref="P159:P164" si="39">SIN(O159*3.14159265358979/180)</f>
        <v>0</v>
      </c>
      <c r="Q159" s="374">
        <f t="shared" ref="Q159:Q164" si="40">+P159*N159</f>
        <v>0</v>
      </c>
      <c r="R159" s="1003">
        <v>211.0008</v>
      </c>
      <c r="S159" s="374">
        <f>+R159+Q159</f>
        <v>211.0008</v>
      </c>
      <c r="T159" s="375">
        <f t="shared" ref="T159:T164" si="41">+S159</f>
        <v>211.0008</v>
      </c>
      <c r="V159" s="1001">
        <f t="shared" ref="V159:V164" si="42">IF(B159&lt;($B$156+1),T159,0)</f>
        <v>211.0008</v>
      </c>
      <c r="W159" s="340"/>
      <c r="X159" s="340"/>
      <c r="Y159" s="340"/>
      <c r="Z159" s="340"/>
      <c r="AA159" s="340"/>
      <c r="AB159" s="376" t="str">
        <f>IF(AY159&lt;0,"use the locking pin"," ")</f>
        <v xml:space="preserve"> </v>
      </c>
      <c r="AC159" s="377"/>
      <c r="AD159" s="377"/>
      <c r="AE159" s="377"/>
      <c r="AF159" s="340">
        <f>SUM(V159:V164)/($B$156)</f>
        <v>211.0008</v>
      </c>
      <c r="AG159" s="353">
        <f>C159</f>
        <v>0</v>
      </c>
      <c r="AH159" s="353"/>
      <c r="AI159" s="944">
        <f xml:space="preserve"> 75.4990086-AG159</f>
        <v>75.499008599999996</v>
      </c>
      <c r="AJ159" s="575">
        <f t="shared" ref="AJ159:AJ164" si="43">SIN(AI159*3.14159265358979/180)</f>
        <v>0.96814330785934066</v>
      </c>
      <c r="AK159" s="996">
        <f>+AJ159*290.642868</f>
        <v>281.38394763124575</v>
      </c>
      <c r="AL159" s="944">
        <f>57.1819124+AG159</f>
        <v>57.181912400000002</v>
      </c>
      <c r="AM159" s="968">
        <f>SIN(AL159*3.14159265358979/180)</f>
        <v>0.84039555073787342</v>
      </c>
      <c r="AN159" s="944">
        <f>+AM159*251.073172</f>
        <v>211.00077665844481</v>
      </c>
      <c r="AO159" s="378"/>
      <c r="AP159" s="379">
        <f>$C$13*B156</f>
        <v>29.3</v>
      </c>
      <c r="AQ159" s="347"/>
      <c r="AR159" s="347">
        <f>+AN159+AK159</f>
        <v>492.38472428969055</v>
      </c>
      <c r="AS159" s="348">
        <f>+V159-AN159</f>
        <v>2.3341555191791485E-5</v>
      </c>
      <c r="AT159" s="348"/>
      <c r="AU159" s="348">
        <f>+AF159-AS159</f>
        <v>211.00077665844481</v>
      </c>
      <c r="AV159" s="350">
        <f>+((AR159-AU159)/AR159)*AP159</f>
        <v>16.744121535226355</v>
      </c>
      <c r="AW159" s="350">
        <f>+(AU159/AR159)*AP159</f>
        <v>12.555878464773642</v>
      </c>
      <c r="AX159" s="351">
        <f>2*$C$18/AV159</f>
        <v>692.78044689271212</v>
      </c>
      <c r="AY159" s="1083">
        <f>AY156/AX153</f>
        <v>143.35914488580156</v>
      </c>
      <c r="AZ159" s="354">
        <f>ABS(AX159)</f>
        <v>692.78044689271212</v>
      </c>
      <c r="BA159" s="354">
        <f>ABS(AY159)</f>
        <v>143.35914488580156</v>
      </c>
      <c r="BB159" s="74"/>
      <c r="BC159" s="380"/>
      <c r="BE159" s="119"/>
      <c r="BF159" s="119"/>
      <c r="BG159" s="119"/>
      <c r="BH159" s="119"/>
      <c r="BI159" s="119"/>
      <c r="BJ159" s="119"/>
      <c r="BK159" s="119"/>
      <c r="BL159" s="119"/>
    </row>
    <row r="160" spans="2:67" ht="19" thickBot="1" x14ac:dyDescent="0.25">
      <c r="B160" s="244">
        <v>2</v>
      </c>
      <c r="C160" s="245"/>
      <c r="D160" s="16">
        <v>1</v>
      </c>
      <c r="E160" s="246" t="s">
        <v>215</v>
      </c>
      <c r="F160" s="235"/>
      <c r="G160" s="235">
        <f t="shared" ref="G160:G164" si="44">+D160+BB160</f>
        <v>1</v>
      </c>
      <c r="H160" s="888">
        <v>251.073172</v>
      </c>
      <c r="I160" s="889">
        <v>65.636175100000003</v>
      </c>
      <c r="J160" s="374">
        <f t="shared" ref="J160:J164" si="45">+I160-D160</f>
        <v>64.636175100000003</v>
      </c>
      <c r="K160" s="374">
        <f t="shared" ref="K160:K164" si="46">+J160/2</f>
        <v>32.318087550000001</v>
      </c>
      <c r="L160" s="374">
        <f t="shared" si="36"/>
        <v>0.53461916118589337</v>
      </c>
      <c r="M160" s="374">
        <f t="shared" si="37"/>
        <v>134.22852861092153</v>
      </c>
      <c r="N160" s="374">
        <f t="shared" si="38"/>
        <v>268.45705722184306</v>
      </c>
      <c r="O160" s="374">
        <f>+C159+(D160/2)</f>
        <v>0.5</v>
      </c>
      <c r="P160" s="374">
        <f t="shared" si="39"/>
        <v>8.726535498373926E-3</v>
      </c>
      <c r="Q160" s="374">
        <f t="shared" si="40"/>
        <v>2.3427000396354138</v>
      </c>
      <c r="R160" s="374">
        <f t="shared" ref="R160:R164" si="47">+T159</f>
        <v>211.0008</v>
      </c>
      <c r="S160" s="374">
        <f>+R160+Q160</f>
        <v>213.34350003963542</v>
      </c>
      <c r="T160" s="375">
        <f t="shared" si="41"/>
        <v>213.34350003963542</v>
      </c>
      <c r="V160" s="1001">
        <f t="shared" si="42"/>
        <v>0</v>
      </c>
      <c r="W160" s="340"/>
      <c r="X160" s="340"/>
      <c r="Y160" s="340"/>
      <c r="Z160" s="340"/>
      <c r="AA160" s="340"/>
      <c r="AB160" s="376" t="e">
        <f t="shared" ref="AB160:AB164" si="48">IF(AY160&lt;0,"use the locking pin"," ")</f>
        <v>#DIV/0!</v>
      </c>
      <c r="AC160" s="377"/>
      <c r="AD160" s="377"/>
      <c r="AE160" s="377"/>
      <c r="AF160" s="340" t="e">
        <f>SUM(V160:V164)/($B$156-B159)</f>
        <v>#DIV/0!</v>
      </c>
      <c r="AG160" s="353">
        <f>SUM(D160)+$C$159</f>
        <v>1</v>
      </c>
      <c r="AH160" s="353"/>
      <c r="AI160" s="944">
        <f t="shared" ref="AI160:AI164" si="49" xml:space="preserve"> 75.4990086-AG160</f>
        <v>74.499008599999996</v>
      </c>
      <c r="AJ160" s="575">
        <f t="shared" si="43"/>
        <v>0.96362582898684701</v>
      </c>
      <c r="AK160" s="996">
        <f t="shared" ref="AK160:AK164" si="50">+AJ160*290.642868</f>
        <v>280.07097461561477</v>
      </c>
      <c r="AL160" s="944">
        <f t="shared" ref="AL160:AL164" si="51">57.1819124+AG160</f>
        <v>58.181912400000002</v>
      </c>
      <c r="AM160" s="968">
        <f t="shared" ref="AM160:AM164" si="52">SIN(AL160*3.14159265358979/180)</f>
        <v>0.84972629692714396</v>
      </c>
      <c r="AN160" s="944">
        <f t="shared" ref="AN160:AN164" si="53">+AM160*251.073172</f>
        <v>213.34347670131189</v>
      </c>
      <c r="AO160" s="378"/>
      <c r="AP160" s="253">
        <f>$C$13*($B$156-B159)</f>
        <v>0</v>
      </c>
      <c r="AQ160" s="347"/>
      <c r="AR160" s="347">
        <f t="shared" ref="AR160:AR164" si="54">+AN160+AK160</f>
        <v>493.41445131692666</v>
      </c>
      <c r="AS160" s="348">
        <f>+V160-AN160</f>
        <v>-213.34347670131189</v>
      </c>
      <c r="AT160" s="348"/>
      <c r="AU160" s="348" t="e">
        <f>+AF160-AS160</f>
        <v>#DIV/0!</v>
      </c>
      <c r="AV160" s="350" t="e">
        <f t="shared" ref="AV160:AV164" si="55">+((AR160-AU160)/AR160)*AP160</f>
        <v>#DIV/0!</v>
      </c>
      <c r="AW160" s="350" t="e">
        <f t="shared" ref="AW160:AW164" si="56">+(AU160/AR160)*AP160</f>
        <v>#DIV/0!</v>
      </c>
      <c r="AX160" s="351" t="e">
        <f t="shared" ref="AX160:AX164" si="57">2*$C$18/AV160</f>
        <v>#DIV/0!</v>
      </c>
      <c r="AY160" s="351" t="e">
        <f t="shared" ref="AY160:AY164" si="58">$D$18/AW160</f>
        <v>#DIV/0!</v>
      </c>
      <c r="AZ160" s="354" t="e">
        <f t="shared" ref="AZ160:BA164" si="59">ABS(AX160)</f>
        <v>#DIV/0!</v>
      </c>
      <c r="BA160" s="354" t="e">
        <f t="shared" si="59"/>
        <v>#DIV/0!</v>
      </c>
      <c r="BE160" s="119"/>
      <c r="BF160" s="119"/>
      <c r="BG160" s="119"/>
      <c r="BH160" s="119"/>
      <c r="BI160" s="119"/>
      <c r="BJ160" s="119"/>
      <c r="BK160" s="119"/>
      <c r="BL160" s="119"/>
    </row>
    <row r="161" spans="2:128" ht="19" thickBot="1" x14ac:dyDescent="0.25">
      <c r="B161" s="244">
        <v>3</v>
      </c>
      <c r="C161" s="245"/>
      <c r="D161" s="16">
        <v>1</v>
      </c>
      <c r="E161" s="246" t="s">
        <v>215</v>
      </c>
      <c r="F161" s="235"/>
      <c r="G161" s="235">
        <f t="shared" si="44"/>
        <v>1</v>
      </c>
      <c r="H161" s="888">
        <v>251.073172</v>
      </c>
      <c r="I161" s="889">
        <v>65.636175100000003</v>
      </c>
      <c r="J161" s="374">
        <f t="shared" si="45"/>
        <v>64.636175100000003</v>
      </c>
      <c r="K161" s="374">
        <f t="shared" si="46"/>
        <v>32.318087550000001</v>
      </c>
      <c r="L161" s="374">
        <f t="shared" si="36"/>
        <v>0.53461916118589337</v>
      </c>
      <c r="M161" s="374">
        <f t="shared" si="37"/>
        <v>134.22852861092153</v>
      </c>
      <c r="N161" s="374">
        <f t="shared" si="38"/>
        <v>268.45705722184306</v>
      </c>
      <c r="O161" s="374">
        <f>+C159+D160+(D161/2)</f>
        <v>1.5</v>
      </c>
      <c r="P161" s="374">
        <f t="shared" si="39"/>
        <v>2.6176948307873125E-2</v>
      </c>
      <c r="Q161" s="374">
        <f t="shared" si="40"/>
        <v>7.0273865097799231</v>
      </c>
      <c r="R161" s="374">
        <f t="shared" si="47"/>
        <v>213.34350003963542</v>
      </c>
      <c r="S161" s="374">
        <f t="shared" ref="S161:S164" si="60">+S160+Q161</f>
        <v>220.37088654941533</v>
      </c>
      <c r="T161" s="375">
        <f t="shared" si="41"/>
        <v>220.37088654941533</v>
      </c>
      <c r="V161" s="1001">
        <f t="shared" si="42"/>
        <v>0</v>
      </c>
      <c r="W161" s="340"/>
      <c r="X161" s="340"/>
      <c r="Y161" s="340"/>
      <c r="Z161" s="340"/>
      <c r="AA161" s="340"/>
      <c r="AB161" s="376" t="str">
        <f t="shared" si="48"/>
        <v>use the locking pin</v>
      </c>
      <c r="AC161" s="377"/>
      <c r="AD161" s="377"/>
      <c r="AE161" s="377"/>
      <c r="AF161" s="340">
        <f>SUM(V161:V164)/($B$156-B160)</f>
        <v>0</v>
      </c>
      <c r="AG161" s="353">
        <f>SUM(D160:D161)+$C$159</f>
        <v>2</v>
      </c>
      <c r="AH161" s="353"/>
      <c r="AI161" s="944">
        <f t="shared" si="49"/>
        <v>73.499008599999996</v>
      </c>
      <c r="AJ161" s="575">
        <f t="shared" si="43"/>
        <v>0.95881482035199095</v>
      </c>
      <c r="AK161" s="996">
        <f t="shared" si="50"/>
        <v>278.67268926800745</v>
      </c>
      <c r="AL161" s="944">
        <f t="shared" si="51"/>
        <v>59.181912400000002</v>
      </c>
      <c r="AM161" s="968">
        <f t="shared" si="52"/>
        <v>0.85879820825488717</v>
      </c>
      <c r="AN161" s="944">
        <f t="shared" si="53"/>
        <v>215.62119025447112</v>
      </c>
      <c r="AO161" s="378"/>
      <c r="AP161" s="253">
        <f t="shared" ref="AP161:AP164" si="61">$C$13*($B$156-B160)</f>
        <v>-29.3</v>
      </c>
      <c r="AQ161" s="347"/>
      <c r="AR161" s="347">
        <f t="shared" si="54"/>
        <v>494.29387952247856</v>
      </c>
      <c r="AS161" s="348">
        <f>+V161-AN161</f>
        <v>-215.62119025447112</v>
      </c>
      <c r="AT161" s="348"/>
      <c r="AU161" s="348">
        <f>+AF161-AS161</f>
        <v>215.62119025447112</v>
      </c>
      <c r="AV161" s="350">
        <f t="shared" si="55"/>
        <v>-16.518735379529016</v>
      </c>
      <c r="AW161" s="350">
        <f t="shared" si="56"/>
        <v>-12.781264620470987</v>
      </c>
      <c r="AX161" s="351">
        <f t="shared" si="57"/>
        <v>-702.23293330162551</v>
      </c>
      <c r="AY161" s="351">
        <f t="shared" si="58"/>
        <v>-782.39519303775296</v>
      </c>
      <c r="AZ161" s="354">
        <f t="shared" si="59"/>
        <v>702.23293330162551</v>
      </c>
      <c r="BA161" s="354">
        <f t="shared" si="59"/>
        <v>782.39519303775296</v>
      </c>
      <c r="BE161" s="119"/>
      <c r="BF161" s="119"/>
      <c r="BG161" s="119"/>
      <c r="BH161" s="119"/>
      <c r="BI161" s="119"/>
      <c r="BJ161" s="119"/>
      <c r="BK161" s="119"/>
      <c r="BL161" s="119"/>
    </row>
    <row r="162" spans="2:128" ht="19" thickBot="1" x14ac:dyDescent="0.25">
      <c r="B162" s="244">
        <v>4</v>
      </c>
      <c r="C162" s="245"/>
      <c r="D162" s="16">
        <v>1</v>
      </c>
      <c r="E162" s="246" t="s">
        <v>215</v>
      </c>
      <c r="F162" s="235"/>
      <c r="G162" s="235">
        <f t="shared" si="44"/>
        <v>1</v>
      </c>
      <c r="H162" s="888">
        <v>251.073172</v>
      </c>
      <c r="I162" s="889">
        <v>65.636175100000003</v>
      </c>
      <c r="J162" s="374">
        <f t="shared" si="45"/>
        <v>64.636175100000003</v>
      </c>
      <c r="K162" s="374">
        <f t="shared" si="46"/>
        <v>32.318087550000001</v>
      </c>
      <c r="L162" s="374">
        <f t="shared" si="36"/>
        <v>0.53461916118589337</v>
      </c>
      <c r="M162" s="374">
        <f t="shared" si="37"/>
        <v>134.22852861092153</v>
      </c>
      <c r="N162" s="374">
        <f t="shared" si="38"/>
        <v>268.45705722184306</v>
      </c>
      <c r="O162" s="374">
        <f>+C159+D160+D161+(D162/2)</f>
        <v>2.5</v>
      </c>
      <c r="P162" s="374">
        <f t="shared" si="39"/>
        <v>4.3619387365335958E-2</v>
      </c>
      <c r="Q162" s="374">
        <f t="shared" si="40"/>
        <v>11.709932369917734</v>
      </c>
      <c r="R162" s="374">
        <f t="shared" si="47"/>
        <v>220.37088654941533</v>
      </c>
      <c r="S162" s="374">
        <f t="shared" si="60"/>
        <v>232.08081891933307</v>
      </c>
      <c r="T162" s="375">
        <f t="shared" si="41"/>
        <v>232.08081891933307</v>
      </c>
      <c r="V162" s="1001">
        <f t="shared" si="42"/>
        <v>0</v>
      </c>
      <c r="W162" s="340"/>
      <c r="X162" s="340"/>
      <c r="Y162" s="340"/>
      <c r="Z162" s="340"/>
      <c r="AA162" s="340"/>
      <c r="AB162" s="376" t="str">
        <f t="shared" si="48"/>
        <v>use the locking pin</v>
      </c>
      <c r="AC162" s="377"/>
      <c r="AD162" s="377"/>
      <c r="AE162" s="377"/>
      <c r="AF162" s="340">
        <f>SUM(V162:V165)/($B$156-B161)</f>
        <v>0</v>
      </c>
      <c r="AG162" s="353">
        <f>SUM(D160:D162)+$C$159</f>
        <v>3</v>
      </c>
      <c r="AH162" s="353"/>
      <c r="AI162" s="944">
        <f t="shared" si="49"/>
        <v>72.499008599999996</v>
      </c>
      <c r="AJ162" s="575">
        <f t="shared" si="43"/>
        <v>0.95371174743460796</v>
      </c>
      <c r="AK162" s="996">
        <f t="shared" si="50"/>
        <v>277.18951751968609</v>
      </c>
      <c r="AL162" s="944">
        <f t="shared" si="51"/>
        <v>60.181912400000002</v>
      </c>
      <c r="AM162" s="968">
        <f t="shared" si="52"/>
        <v>0.86760852132903066</v>
      </c>
      <c r="AN162" s="944">
        <f t="shared" si="53"/>
        <v>217.83322350430939</v>
      </c>
      <c r="AO162" s="378"/>
      <c r="AP162" s="253">
        <f t="shared" si="61"/>
        <v>-58.6</v>
      </c>
      <c r="AQ162" s="347"/>
      <c r="AR162" s="347">
        <f t="shared" si="54"/>
        <v>495.02274102399548</v>
      </c>
      <c r="AS162" s="348">
        <f>+V162-AN162</f>
        <v>-217.83322350430939</v>
      </c>
      <c r="AT162" s="348"/>
      <c r="AU162" s="348">
        <f t="shared" ref="AU162:AU164" si="62">+AF162-AS162</f>
        <v>217.83322350430939</v>
      </c>
      <c r="AV162" s="350">
        <f t="shared" si="55"/>
        <v>-32.813251554975004</v>
      </c>
      <c r="AW162" s="350">
        <f t="shared" si="56"/>
        <v>-25.786748445025005</v>
      </c>
      <c r="AX162" s="351">
        <f t="shared" si="57"/>
        <v>-353.51571241166005</v>
      </c>
      <c r="AY162" s="351">
        <f t="shared" si="58"/>
        <v>-387.79608143768445</v>
      </c>
      <c r="AZ162" s="354">
        <f t="shared" si="59"/>
        <v>353.51571241166005</v>
      </c>
      <c r="BA162" s="354">
        <f t="shared" si="59"/>
        <v>387.79608143768445</v>
      </c>
    </row>
    <row r="163" spans="2:128" ht="19" thickBot="1" x14ac:dyDescent="0.25">
      <c r="B163" s="244">
        <v>5</v>
      </c>
      <c r="C163" s="245"/>
      <c r="D163" s="16">
        <v>1</v>
      </c>
      <c r="E163" s="246" t="s">
        <v>215</v>
      </c>
      <c r="F163" s="235"/>
      <c r="G163" s="235">
        <f t="shared" si="44"/>
        <v>1</v>
      </c>
      <c r="H163" s="888">
        <v>251.073172</v>
      </c>
      <c r="I163" s="889">
        <v>65.636175100000003</v>
      </c>
      <c r="J163" s="374">
        <f t="shared" si="45"/>
        <v>64.636175100000003</v>
      </c>
      <c r="K163" s="374">
        <f t="shared" si="46"/>
        <v>32.318087550000001</v>
      </c>
      <c r="L163" s="374">
        <f t="shared" si="36"/>
        <v>0.53461916118589337</v>
      </c>
      <c r="M163" s="374">
        <f t="shared" si="37"/>
        <v>134.22852861092153</v>
      </c>
      <c r="N163" s="374">
        <f t="shared" si="38"/>
        <v>268.45705722184306</v>
      </c>
      <c r="O163" s="374">
        <f>+C159+D160+D161+D162+(D163/2)</f>
        <v>3.5</v>
      </c>
      <c r="P163" s="374">
        <f t="shared" si="39"/>
        <v>6.1048539534856811E-2</v>
      </c>
      <c r="Q163" s="374">
        <f t="shared" si="40"/>
        <v>16.388911271219001</v>
      </c>
      <c r="R163" s="374">
        <f t="shared" si="47"/>
        <v>232.08081891933307</v>
      </c>
      <c r="S163" s="374">
        <f t="shared" si="60"/>
        <v>248.46973019055207</v>
      </c>
      <c r="T163" s="375">
        <f t="shared" si="41"/>
        <v>248.46973019055207</v>
      </c>
      <c r="V163" s="1001">
        <f t="shared" si="42"/>
        <v>0</v>
      </c>
      <c r="W163" s="340"/>
      <c r="X163" s="340"/>
      <c r="Y163" s="340"/>
      <c r="Z163" s="340"/>
      <c r="AA163" s="340"/>
      <c r="AB163" s="376" t="str">
        <f t="shared" si="48"/>
        <v>use the locking pin</v>
      </c>
      <c r="AC163" s="377"/>
      <c r="AD163" s="377"/>
      <c r="AE163" s="377"/>
      <c r="AF163" s="340">
        <f>SUM(V163:V166)/($B$156-B162)</f>
        <v>0</v>
      </c>
      <c r="AG163" s="353">
        <f>SUM(D160:D163)+$C$159</f>
        <v>4</v>
      </c>
      <c r="AH163" s="353"/>
      <c r="AI163" s="944">
        <f t="shared" si="49"/>
        <v>71.499008599999996</v>
      </c>
      <c r="AJ163" s="575">
        <f t="shared" si="43"/>
        <v>0.94831816468014318</v>
      </c>
      <c r="AK163" s="996">
        <f t="shared" si="50"/>
        <v>275.62191115913316</v>
      </c>
      <c r="AL163" s="944">
        <f t="shared" si="51"/>
        <v>61.181912400000002</v>
      </c>
      <c r="AM163" s="968">
        <f t="shared" si="52"/>
        <v>0.87615455244286489</v>
      </c>
      <c r="AN163" s="944">
        <f t="shared" si="53"/>
        <v>219.97890264407044</v>
      </c>
      <c r="AO163" s="378"/>
      <c r="AP163" s="253">
        <f t="shared" si="61"/>
        <v>-87.9</v>
      </c>
      <c r="AQ163" s="347"/>
      <c r="AR163" s="347">
        <f t="shared" si="54"/>
        <v>495.60081380320361</v>
      </c>
      <c r="AS163" s="348">
        <f t="shared" ref="AS163:AS164" si="63">+V163-AN163</f>
        <v>-219.97890264407044</v>
      </c>
      <c r="AT163" s="348"/>
      <c r="AU163" s="348">
        <f t="shared" si="62"/>
        <v>219.97890264407044</v>
      </c>
      <c r="AV163" s="350">
        <f t="shared" si="55"/>
        <v>-48.884435449107407</v>
      </c>
      <c r="AW163" s="350">
        <f t="shared" si="56"/>
        <v>-39.015564550892599</v>
      </c>
      <c r="AX163" s="351">
        <f t="shared" si="57"/>
        <v>-237.29434314683914</v>
      </c>
      <c r="AY163" s="351">
        <f t="shared" si="58"/>
        <v>-256.30796619528144</v>
      </c>
      <c r="AZ163" s="354">
        <f t="shared" si="59"/>
        <v>237.29434314683914</v>
      </c>
      <c r="BA163" s="354">
        <f t="shared" si="59"/>
        <v>256.30796619528144</v>
      </c>
      <c r="BC163" s="109"/>
      <c r="BD163" s="109"/>
    </row>
    <row r="164" spans="2:128" ht="19" thickBot="1" x14ac:dyDescent="0.25">
      <c r="B164" s="244">
        <v>6</v>
      </c>
      <c r="C164" s="245"/>
      <c r="D164" s="16">
        <v>1</v>
      </c>
      <c r="E164" s="246" t="s">
        <v>215</v>
      </c>
      <c r="F164" s="235"/>
      <c r="G164" s="235">
        <f t="shared" si="44"/>
        <v>1</v>
      </c>
      <c r="H164" s="888">
        <v>251.073172</v>
      </c>
      <c r="I164" s="889">
        <v>65.636175100000003</v>
      </c>
      <c r="J164" s="374">
        <f t="shared" si="45"/>
        <v>64.636175100000003</v>
      </c>
      <c r="K164" s="374">
        <f t="shared" si="46"/>
        <v>32.318087550000001</v>
      </c>
      <c r="L164" s="374">
        <f t="shared" si="36"/>
        <v>0.53461916118589337</v>
      </c>
      <c r="M164" s="374">
        <f t="shared" si="37"/>
        <v>134.22852861092153</v>
      </c>
      <c r="N164" s="374">
        <f t="shared" si="38"/>
        <v>268.45705722184306</v>
      </c>
      <c r="O164" s="374">
        <f>+C159+D160+D161+D162+D163+(D164/2)</f>
        <v>4.5</v>
      </c>
      <c r="P164" s="374">
        <f t="shared" si="39"/>
        <v>7.845909572784486E-2</v>
      </c>
      <c r="Q164" s="374">
        <f t="shared" si="40"/>
        <v>21.062897951384109</v>
      </c>
      <c r="R164" s="374">
        <f t="shared" si="47"/>
        <v>248.46973019055207</v>
      </c>
      <c r="S164" s="374">
        <f t="shared" si="60"/>
        <v>269.53262814193619</v>
      </c>
      <c r="T164" s="375">
        <f t="shared" si="41"/>
        <v>269.53262814193619</v>
      </c>
      <c r="V164" s="1001">
        <f t="shared" si="42"/>
        <v>0</v>
      </c>
      <c r="W164" s="340"/>
      <c r="X164" s="340"/>
      <c r="Y164" s="340"/>
      <c r="Z164" s="340"/>
      <c r="AA164" s="340"/>
      <c r="AB164" s="376" t="str">
        <f t="shared" si="48"/>
        <v>use the locking pin</v>
      </c>
      <c r="AC164" s="377"/>
      <c r="AD164" s="377"/>
      <c r="AE164" s="377"/>
      <c r="AF164" s="340">
        <f>SUM(V164:V167)/($B$156-B163)</f>
        <v>0</v>
      </c>
      <c r="AG164" s="353">
        <f>SUM(D160:D164)+$C$159</f>
        <v>5</v>
      </c>
      <c r="AH164" s="353"/>
      <c r="AI164" s="944">
        <f t="shared" si="49"/>
        <v>70.499008599999996</v>
      </c>
      <c r="AJ164" s="575">
        <f t="shared" si="43"/>
        <v>0.94263571502615251</v>
      </c>
      <c r="AK164" s="996">
        <f t="shared" si="50"/>
        <v>273.97034769443167</v>
      </c>
      <c r="AL164" s="944">
        <f t="shared" si="51"/>
        <v>62.181912400000002</v>
      </c>
      <c r="AM164" s="968">
        <f t="shared" si="52"/>
        <v>0.88443369839252528</v>
      </c>
      <c r="AN164" s="944">
        <f t="shared" si="53"/>
        <v>222.05757407910264</v>
      </c>
      <c r="AO164" s="378"/>
      <c r="AP164" s="253">
        <f t="shared" si="61"/>
        <v>-117.2</v>
      </c>
      <c r="AQ164" s="347"/>
      <c r="AR164" s="347">
        <f t="shared" si="54"/>
        <v>496.02792177353433</v>
      </c>
      <c r="AS164" s="348">
        <f t="shared" si="63"/>
        <v>-222.05757407910264</v>
      </c>
      <c r="AT164" s="348"/>
      <c r="AU164" s="348">
        <f t="shared" si="62"/>
        <v>222.05757407910264</v>
      </c>
      <c r="AV164" s="350">
        <f t="shared" si="55"/>
        <v>-64.732897767088147</v>
      </c>
      <c r="AW164" s="350">
        <f t="shared" si="56"/>
        <v>-52.467102232911849</v>
      </c>
      <c r="AX164" s="351">
        <f t="shared" si="57"/>
        <v>-179.19791018374178</v>
      </c>
      <c r="AY164" s="351">
        <f t="shared" si="58"/>
        <v>-190.59562229314707</v>
      </c>
      <c r="AZ164" s="354">
        <f t="shared" si="59"/>
        <v>179.19791018374178</v>
      </c>
      <c r="BA164" s="354">
        <f t="shared" si="59"/>
        <v>190.59562229314707</v>
      </c>
      <c r="BC164" s="109"/>
      <c r="BD164" s="109"/>
    </row>
    <row r="168" spans="2:128" x14ac:dyDescent="0.2">
      <c r="BP168" s="267"/>
      <c r="BQ168" s="267"/>
      <c r="BR168" s="267"/>
      <c r="BS168" s="267"/>
      <c r="BT168" s="267"/>
      <c r="BU168" s="267"/>
      <c r="BV168" s="1109"/>
      <c r="BW168" s="1109"/>
      <c r="BX168" s="1109"/>
      <c r="BY168" s="109"/>
    </row>
    <row r="169" spans="2:128" x14ac:dyDescent="0.2">
      <c r="BV169" s="268"/>
      <c r="CI169" s="268"/>
    </row>
    <row r="170" spans="2:128" x14ac:dyDescent="0.2">
      <c r="BP170" s="269"/>
      <c r="BQ170" s="269"/>
      <c r="BR170" s="269"/>
      <c r="BS170" s="269"/>
      <c r="BT170" s="269"/>
      <c r="BU170" s="269"/>
      <c r="BV170" s="1110"/>
      <c r="BW170" s="1110"/>
      <c r="CH170" s="1104"/>
      <c r="CI170" s="1104"/>
    </row>
    <row r="175" spans="2:128" x14ac:dyDescent="0.2">
      <c r="DE175" s="267"/>
      <c r="DF175" s="267"/>
      <c r="DG175" s="267"/>
      <c r="DH175" s="267"/>
      <c r="DI175" s="267"/>
      <c r="DJ175" s="267"/>
      <c r="DK175" s="1109"/>
      <c r="DL175" s="1109"/>
      <c r="DM175" s="1109"/>
      <c r="DN175" s="109"/>
    </row>
    <row r="176" spans="2:128" x14ac:dyDescent="0.2">
      <c r="DK176" s="268"/>
      <c r="DX176" s="268"/>
    </row>
    <row r="177" spans="57:128" x14ac:dyDescent="0.2">
      <c r="DE177" s="269"/>
      <c r="DF177" s="269"/>
      <c r="DG177" s="269"/>
      <c r="DH177" s="269"/>
      <c r="DI177" s="269"/>
      <c r="DJ177" s="269"/>
      <c r="DK177" s="1110"/>
      <c r="DL177" s="1110"/>
      <c r="DW177" s="1104"/>
      <c r="DX177" s="1104"/>
    </row>
    <row r="186" spans="57:128" x14ac:dyDescent="0.2">
      <c r="BE186" s="119"/>
      <c r="BF186" s="119"/>
      <c r="BG186" s="119"/>
      <c r="BH186" s="119"/>
      <c r="BI186" s="119"/>
      <c r="BJ186" s="119"/>
    </row>
    <row r="187" spans="57:128" x14ac:dyDescent="0.2">
      <c r="BE187" s="119"/>
      <c r="BF187" s="119"/>
      <c r="BG187" s="119"/>
      <c r="BH187" s="119"/>
      <c r="BI187" s="119"/>
      <c r="BJ187" s="119"/>
      <c r="BK187" s="195"/>
      <c r="BP187" s="109"/>
      <c r="BR187" s="109"/>
      <c r="BT187" s="109"/>
    </row>
    <row r="188" spans="57:128" x14ac:dyDescent="0.2">
      <c r="BE188" s="119"/>
      <c r="BF188" s="119"/>
      <c r="BG188" s="259" t="s">
        <v>107</v>
      </c>
      <c r="BH188" s="119"/>
      <c r="BI188" s="119"/>
      <c r="BJ188" s="119"/>
      <c r="BK188" s="119"/>
      <c r="BL188" s="119"/>
      <c r="BP188" s="109"/>
      <c r="BT188" s="109"/>
    </row>
    <row r="189" spans="57:128" ht="20" x14ac:dyDescent="0.3">
      <c r="BE189" s="260">
        <v>1</v>
      </c>
      <c r="BF189" s="261">
        <v>-473</v>
      </c>
      <c r="BG189" s="262">
        <f>+COS(($B$132*-1)*3.14159265358979/180)*BF189</f>
        <v>-473</v>
      </c>
      <c r="BH189" s="263">
        <f t="shared" ref="BH189:BH225" si="64">+BG189-D$3</f>
        <v>-737.83568838182032</v>
      </c>
      <c r="BI189" s="264">
        <f t="shared" ref="BI189:BI225" si="65">ABS(BH189)</f>
        <v>737.83568838182032</v>
      </c>
      <c r="BJ189" s="265">
        <f>MIN(BI189:BI225)</f>
        <v>6.8356883818203187</v>
      </c>
      <c r="BK189" s="264" t="b">
        <f>IF(BJ189=BI189,BE189)</f>
        <v>0</v>
      </c>
      <c r="BL189" s="266">
        <v>1</v>
      </c>
      <c r="BP189" s="109"/>
      <c r="BQ189" s="273"/>
      <c r="BR189" s="273"/>
      <c r="BS189" s="273"/>
      <c r="BT189" s="273"/>
      <c r="BU189" s="273"/>
      <c r="BV189" s="273"/>
      <c r="BW189" s="273"/>
      <c r="BX189" s="273"/>
      <c r="BY189" s="273"/>
      <c r="BZ189" s="273"/>
      <c r="CA189" s="273"/>
      <c r="CB189" s="273"/>
      <c r="CC189" s="273"/>
      <c r="CD189" s="273"/>
      <c r="CE189" s="273"/>
      <c r="CF189" s="273"/>
      <c r="CG189" s="273"/>
      <c r="CH189" s="273"/>
      <c r="CI189" s="273"/>
      <c r="CJ189" s="273"/>
      <c r="CK189" s="273"/>
      <c r="CL189" s="273"/>
      <c r="CM189" s="273"/>
      <c r="CN189" s="273"/>
    </row>
    <row r="190" spans="57:128" ht="20" x14ac:dyDescent="0.3">
      <c r="BE190" s="260">
        <v>2</v>
      </c>
      <c r="BF190" s="261">
        <f>+BF189+43</f>
        <v>-430</v>
      </c>
      <c r="BG190" s="31">
        <f>+BG189+$E$2</f>
        <v>-430</v>
      </c>
      <c r="BH190" s="263">
        <f t="shared" si="64"/>
        <v>-694.83568838182032</v>
      </c>
      <c r="BI190" s="264">
        <f t="shared" si="65"/>
        <v>694.83568838182032</v>
      </c>
      <c r="BJ190" s="264">
        <f>+BJ189</f>
        <v>6.8356883818203187</v>
      </c>
      <c r="BK190" s="264" t="b">
        <f t="shared" ref="BK190:BK225" si="66">IF(BJ190=BI190,BE190)</f>
        <v>0</v>
      </c>
      <c r="BL190" s="266">
        <v>2</v>
      </c>
      <c r="BP190" s="109"/>
    </row>
    <row r="191" spans="57:128" ht="20" x14ac:dyDescent="0.3">
      <c r="BE191" s="260">
        <v>3</v>
      </c>
      <c r="BF191" s="261">
        <f t="shared" ref="BF191:BF225" si="67">+BF190+43</f>
        <v>-387</v>
      </c>
      <c r="BG191" s="31">
        <f t="shared" ref="BG191:BG225" si="68">+BG190+$E$2</f>
        <v>-387</v>
      </c>
      <c r="BH191" s="263">
        <f t="shared" si="64"/>
        <v>-651.83568838182032</v>
      </c>
      <c r="BI191" s="264">
        <f t="shared" si="65"/>
        <v>651.83568838182032</v>
      </c>
      <c r="BJ191" s="264">
        <f t="shared" ref="BJ191:BJ225" si="69">+BJ190</f>
        <v>6.8356883818203187</v>
      </c>
      <c r="BK191" s="264" t="b">
        <f t="shared" si="66"/>
        <v>0</v>
      </c>
      <c r="BL191" s="266">
        <v>3</v>
      </c>
      <c r="BP191" s="216"/>
      <c r="BQ191" s="274"/>
      <c r="BR191" s="274"/>
      <c r="BS191" s="274"/>
      <c r="BT191" s="274"/>
      <c r="BU191" s="274"/>
      <c r="BV191" s="274"/>
      <c r="BW191" s="274"/>
      <c r="BX191" s="274"/>
      <c r="BY191" s="274"/>
      <c r="BZ191" s="274"/>
      <c r="CA191" s="274"/>
      <c r="CB191" s="274"/>
      <c r="CC191" s="274"/>
      <c r="CD191" s="274"/>
      <c r="CE191" s="274"/>
      <c r="CF191" s="274"/>
      <c r="CG191" s="274"/>
      <c r="CH191" s="274"/>
      <c r="CI191" s="274"/>
      <c r="CJ191" s="274"/>
      <c r="CK191" s="274"/>
      <c r="CL191" s="274"/>
      <c r="CM191" s="274"/>
      <c r="CN191" s="274"/>
    </row>
    <row r="192" spans="57:128" ht="20" x14ac:dyDescent="0.3">
      <c r="BE192" s="260">
        <v>4</v>
      </c>
      <c r="BF192" s="261">
        <f t="shared" si="67"/>
        <v>-344</v>
      </c>
      <c r="BG192" s="31">
        <f t="shared" si="68"/>
        <v>-344</v>
      </c>
      <c r="BH192" s="263">
        <f t="shared" si="64"/>
        <v>-608.83568838182032</v>
      </c>
      <c r="BI192" s="264">
        <f t="shared" si="65"/>
        <v>608.83568838182032</v>
      </c>
      <c r="BJ192" s="264">
        <f t="shared" si="69"/>
        <v>6.8356883818203187</v>
      </c>
      <c r="BK192" s="264" t="b">
        <f t="shared" si="66"/>
        <v>0</v>
      </c>
      <c r="BL192" s="266">
        <v>4</v>
      </c>
      <c r="BP192" s="109"/>
      <c r="BQ192" s="186"/>
      <c r="BR192" s="186"/>
      <c r="BS192" s="186"/>
      <c r="BT192" s="186"/>
      <c r="BU192" s="186"/>
      <c r="BV192" s="186"/>
      <c r="BW192" s="186"/>
      <c r="BX192" s="186"/>
      <c r="BY192" s="186"/>
      <c r="BZ192" s="186"/>
      <c r="CA192" s="186"/>
      <c r="CB192" s="186"/>
      <c r="CC192" s="186"/>
      <c r="CD192" s="186"/>
      <c r="CE192" s="186"/>
      <c r="CF192" s="186"/>
      <c r="CG192" s="186"/>
      <c r="CH192" s="186"/>
      <c r="CI192" s="186"/>
      <c r="CJ192" s="186"/>
      <c r="CK192" s="186"/>
      <c r="CL192" s="186"/>
      <c r="CM192" s="186"/>
      <c r="CN192" s="186"/>
    </row>
    <row r="193" spans="57:133" ht="20" x14ac:dyDescent="0.3">
      <c r="BE193" s="260">
        <v>5</v>
      </c>
      <c r="BF193" s="261">
        <f t="shared" si="67"/>
        <v>-301</v>
      </c>
      <c r="BG193" s="31">
        <f t="shared" si="68"/>
        <v>-301</v>
      </c>
      <c r="BH193" s="263">
        <f t="shared" si="64"/>
        <v>-565.83568838182032</v>
      </c>
      <c r="BI193" s="264">
        <f t="shared" si="65"/>
        <v>565.83568838182032</v>
      </c>
      <c r="BJ193" s="264">
        <f t="shared" si="69"/>
        <v>6.8356883818203187</v>
      </c>
      <c r="BK193" s="264" t="b">
        <f t="shared" si="66"/>
        <v>0</v>
      </c>
      <c r="BL193" s="266">
        <v>5</v>
      </c>
    </row>
    <row r="194" spans="57:133" ht="20" x14ac:dyDescent="0.3">
      <c r="BE194" s="260">
        <v>6</v>
      </c>
      <c r="BF194" s="261">
        <f t="shared" si="67"/>
        <v>-258</v>
      </c>
      <c r="BG194" s="31">
        <f t="shared" si="68"/>
        <v>-258</v>
      </c>
      <c r="BH194" s="263">
        <f t="shared" si="64"/>
        <v>-522.83568838182032</v>
      </c>
      <c r="BI194" s="264">
        <f t="shared" si="65"/>
        <v>522.83568838182032</v>
      </c>
      <c r="BJ194" s="264">
        <f t="shared" si="69"/>
        <v>6.8356883818203187</v>
      </c>
      <c r="BK194" s="264" t="b">
        <f t="shared" si="66"/>
        <v>0</v>
      </c>
      <c r="BL194" s="266">
        <v>6</v>
      </c>
      <c r="BQ194" s="217"/>
      <c r="BR194" s="217"/>
      <c r="BS194" s="217"/>
      <c r="BT194" s="217"/>
      <c r="BU194" s="217"/>
      <c r="BV194" s="217"/>
      <c r="BW194" s="109"/>
      <c r="BX194" s="109"/>
      <c r="BY194" s="109"/>
      <c r="BZ194" s="109"/>
      <c r="CA194" s="109"/>
      <c r="CB194" s="217"/>
      <c r="CC194" s="217"/>
      <c r="CD194" s="217"/>
      <c r="CE194" s="109"/>
      <c r="CF194" s="109"/>
      <c r="CG194" s="109"/>
      <c r="CH194" s="109"/>
      <c r="CI194" s="109"/>
      <c r="CJ194" s="109"/>
      <c r="CK194" s="109"/>
      <c r="CL194" s="109"/>
      <c r="CM194" s="109"/>
      <c r="CN194" s="109"/>
      <c r="DE194" s="109"/>
      <c r="DG194" s="109"/>
      <c r="DI194" s="109"/>
    </row>
    <row r="195" spans="57:133" ht="20" x14ac:dyDescent="0.3">
      <c r="BE195" s="260">
        <v>7</v>
      </c>
      <c r="BF195" s="261">
        <f t="shared" si="67"/>
        <v>-215</v>
      </c>
      <c r="BG195" s="31">
        <f t="shared" si="68"/>
        <v>-215</v>
      </c>
      <c r="BH195" s="263">
        <f t="shared" si="64"/>
        <v>-479.83568838182032</v>
      </c>
      <c r="BI195" s="264">
        <f t="shared" si="65"/>
        <v>479.83568838182032</v>
      </c>
      <c r="BJ195" s="264">
        <f t="shared" si="69"/>
        <v>6.8356883818203187</v>
      </c>
      <c r="BK195" s="264" t="b">
        <f t="shared" si="66"/>
        <v>0</v>
      </c>
      <c r="BL195" s="266">
        <v>7</v>
      </c>
      <c r="BQ195" s="217"/>
      <c r="BR195" s="217"/>
      <c r="BS195" s="217"/>
      <c r="BT195" s="217"/>
      <c r="BU195" s="217"/>
      <c r="BV195" s="217"/>
      <c r="CA195" s="217"/>
      <c r="CB195" s="217"/>
      <c r="CC195" s="217"/>
      <c r="CD195" s="217"/>
      <c r="CI195" s="217"/>
      <c r="CJ195" s="217"/>
      <c r="CK195" s="217"/>
      <c r="CL195" s="217"/>
      <c r="CM195" s="217"/>
      <c r="CN195" s="217"/>
      <c r="DE195" s="109"/>
      <c r="DI195" s="109"/>
    </row>
    <row r="196" spans="57:133" ht="20" x14ac:dyDescent="0.3">
      <c r="BE196" s="260">
        <v>8</v>
      </c>
      <c r="BF196" s="261">
        <f t="shared" si="67"/>
        <v>-172</v>
      </c>
      <c r="BG196" s="31">
        <f t="shared" si="68"/>
        <v>-172</v>
      </c>
      <c r="BH196" s="263">
        <f t="shared" si="64"/>
        <v>-436.83568838182032</v>
      </c>
      <c r="BI196" s="264">
        <f t="shared" si="65"/>
        <v>436.83568838182032</v>
      </c>
      <c r="BJ196" s="264">
        <f t="shared" si="69"/>
        <v>6.8356883818203187</v>
      </c>
      <c r="BK196" s="264" t="b">
        <f t="shared" si="66"/>
        <v>0</v>
      </c>
      <c r="BL196" s="266">
        <v>8</v>
      </c>
      <c r="DE196" s="109"/>
      <c r="DF196" s="273"/>
      <c r="DG196" s="273"/>
      <c r="DH196" s="273"/>
      <c r="DI196" s="273"/>
      <c r="DJ196" s="273"/>
      <c r="DK196" s="273"/>
      <c r="DL196" s="273"/>
      <c r="DM196" s="273"/>
      <c r="DN196" s="273"/>
      <c r="DO196" s="273"/>
      <c r="DP196" s="273"/>
      <c r="DQ196" s="273"/>
      <c r="DR196" s="273"/>
      <c r="DS196" s="273"/>
      <c r="DT196" s="273"/>
      <c r="DU196" s="273"/>
      <c r="DV196" s="273"/>
      <c r="DW196" s="273"/>
      <c r="DX196" s="273"/>
      <c r="DY196" s="273"/>
      <c r="DZ196" s="273"/>
      <c r="EA196" s="273"/>
      <c r="EB196" s="273"/>
      <c r="EC196" s="273"/>
    </row>
    <row r="197" spans="57:133" ht="20" x14ac:dyDescent="0.3">
      <c r="BE197" s="260">
        <v>9</v>
      </c>
      <c r="BF197" s="261">
        <f t="shared" si="67"/>
        <v>-129</v>
      </c>
      <c r="BG197" s="31">
        <f t="shared" si="68"/>
        <v>-129</v>
      </c>
      <c r="BH197" s="263">
        <f t="shared" si="64"/>
        <v>-393.83568838182032</v>
      </c>
      <c r="BI197" s="264">
        <f t="shared" si="65"/>
        <v>393.83568838182032</v>
      </c>
      <c r="BJ197" s="264">
        <f t="shared" si="69"/>
        <v>6.8356883818203187</v>
      </c>
      <c r="BK197" s="264" t="b">
        <f t="shared" si="66"/>
        <v>0</v>
      </c>
      <c r="BL197" s="266">
        <v>9</v>
      </c>
      <c r="DE197" s="109"/>
    </row>
    <row r="198" spans="57:133" ht="20" x14ac:dyDescent="0.3">
      <c r="BE198" s="260">
        <v>10</v>
      </c>
      <c r="BF198" s="261">
        <f t="shared" si="67"/>
        <v>-86</v>
      </c>
      <c r="BG198" s="31">
        <f t="shared" si="68"/>
        <v>-86</v>
      </c>
      <c r="BH198" s="263">
        <f t="shared" si="64"/>
        <v>-350.83568838182032</v>
      </c>
      <c r="BI198" s="264">
        <f t="shared" si="65"/>
        <v>350.83568838182032</v>
      </c>
      <c r="BJ198" s="264">
        <f t="shared" si="69"/>
        <v>6.8356883818203187</v>
      </c>
      <c r="BK198" s="264" t="b">
        <f t="shared" si="66"/>
        <v>0</v>
      </c>
      <c r="BL198" s="266">
        <v>10</v>
      </c>
      <c r="DE198" s="216"/>
      <c r="DF198" s="274"/>
      <c r="DG198" s="274"/>
      <c r="DH198" s="274"/>
      <c r="DI198" s="274"/>
      <c r="DJ198" s="274"/>
      <c r="DK198" s="274"/>
      <c r="DL198" s="274"/>
      <c r="DM198" s="274"/>
      <c r="DN198" s="274"/>
      <c r="DO198" s="274"/>
      <c r="DP198" s="274"/>
      <c r="DQ198" s="274"/>
      <c r="DR198" s="274"/>
      <c r="DS198" s="274"/>
      <c r="DT198" s="274"/>
      <c r="DU198" s="274"/>
      <c r="DV198" s="274"/>
      <c r="DW198" s="274"/>
      <c r="DX198" s="274"/>
      <c r="DY198" s="274"/>
      <c r="DZ198" s="274"/>
      <c r="EA198" s="274"/>
      <c r="EB198" s="274"/>
      <c r="EC198" s="274"/>
    </row>
    <row r="199" spans="57:133" ht="20" x14ac:dyDescent="0.3">
      <c r="BE199" s="260">
        <v>11</v>
      </c>
      <c r="BF199" s="261">
        <f t="shared" si="67"/>
        <v>-43</v>
      </c>
      <c r="BG199" s="31">
        <f t="shared" si="68"/>
        <v>-43</v>
      </c>
      <c r="BH199" s="263">
        <f t="shared" si="64"/>
        <v>-307.83568838182032</v>
      </c>
      <c r="BI199" s="264">
        <f t="shared" si="65"/>
        <v>307.83568838182032</v>
      </c>
      <c r="BJ199" s="264">
        <f t="shared" si="69"/>
        <v>6.8356883818203187</v>
      </c>
      <c r="BK199" s="264" t="b">
        <f t="shared" si="66"/>
        <v>0</v>
      </c>
      <c r="BL199" s="266">
        <v>11</v>
      </c>
      <c r="DE199" s="109"/>
      <c r="DF199" s="186"/>
      <c r="DG199" s="186"/>
      <c r="DH199" s="186"/>
      <c r="DI199" s="186"/>
      <c r="DJ199" s="186"/>
      <c r="DK199" s="186"/>
      <c r="DL199" s="186"/>
      <c r="DM199" s="186"/>
      <c r="DN199" s="186"/>
      <c r="DO199" s="186"/>
      <c r="DP199" s="186"/>
      <c r="DQ199" s="186"/>
      <c r="DR199" s="186"/>
      <c r="DS199" s="186"/>
      <c r="DT199" s="186"/>
      <c r="DU199" s="186"/>
      <c r="DV199" s="186"/>
      <c r="DW199" s="186"/>
      <c r="DX199" s="186"/>
      <c r="DY199" s="186"/>
      <c r="DZ199" s="186"/>
      <c r="EA199" s="186"/>
      <c r="EB199" s="186"/>
      <c r="EC199" s="186"/>
    </row>
    <row r="200" spans="57:133" ht="20" x14ac:dyDescent="0.3">
      <c r="BE200" s="260">
        <v>12</v>
      </c>
      <c r="BF200" s="261">
        <f t="shared" si="67"/>
        <v>0</v>
      </c>
      <c r="BG200" s="31">
        <f t="shared" si="68"/>
        <v>0</v>
      </c>
      <c r="BH200" s="263">
        <f t="shared" si="64"/>
        <v>-264.83568838182032</v>
      </c>
      <c r="BI200" s="264">
        <f t="shared" si="65"/>
        <v>264.83568838182032</v>
      </c>
      <c r="BJ200" s="264">
        <f t="shared" si="69"/>
        <v>6.8356883818203187</v>
      </c>
      <c r="BK200" s="264" t="b">
        <f t="shared" si="66"/>
        <v>0</v>
      </c>
      <c r="BL200" s="266">
        <v>12</v>
      </c>
    </row>
    <row r="201" spans="57:133" ht="20" x14ac:dyDescent="0.3">
      <c r="BE201" s="260">
        <v>13</v>
      </c>
      <c r="BF201" s="261">
        <f t="shared" si="67"/>
        <v>43</v>
      </c>
      <c r="BG201" s="31">
        <f t="shared" si="68"/>
        <v>43</v>
      </c>
      <c r="BH201" s="263">
        <f t="shared" si="64"/>
        <v>-221.83568838182032</v>
      </c>
      <c r="BI201" s="264">
        <f t="shared" si="65"/>
        <v>221.83568838182032</v>
      </c>
      <c r="BJ201" s="264">
        <f t="shared" si="69"/>
        <v>6.8356883818203187</v>
      </c>
      <c r="BK201" s="264" t="b">
        <f t="shared" si="66"/>
        <v>0</v>
      </c>
      <c r="BL201" s="266">
        <v>13</v>
      </c>
      <c r="DF201" s="217"/>
      <c r="DG201" s="217"/>
      <c r="DH201" s="217"/>
      <c r="DI201" s="217"/>
      <c r="DJ201" s="217"/>
      <c r="DK201" s="217"/>
      <c r="DL201" s="109"/>
      <c r="DM201" s="109"/>
      <c r="DN201" s="109"/>
      <c r="DO201" s="109"/>
      <c r="DP201" s="109"/>
      <c r="DQ201" s="217"/>
      <c r="DR201" s="217"/>
      <c r="DS201" s="217"/>
      <c r="DT201" s="109"/>
      <c r="DU201" s="109"/>
      <c r="DV201" s="109"/>
      <c r="DW201" s="109"/>
      <c r="DX201" s="109"/>
      <c r="DY201" s="109"/>
      <c r="DZ201" s="109"/>
      <c r="EA201" s="109"/>
      <c r="EB201" s="109"/>
      <c r="EC201" s="109"/>
    </row>
    <row r="202" spans="57:133" ht="20" x14ac:dyDescent="0.3">
      <c r="BE202" s="260">
        <v>14</v>
      </c>
      <c r="BF202" s="261">
        <f t="shared" si="67"/>
        <v>86</v>
      </c>
      <c r="BG202" s="31">
        <f t="shared" si="68"/>
        <v>86</v>
      </c>
      <c r="BH202" s="263">
        <f t="shared" si="64"/>
        <v>-178.83568838182032</v>
      </c>
      <c r="BI202" s="264">
        <f t="shared" si="65"/>
        <v>178.83568838182032</v>
      </c>
      <c r="BJ202" s="264">
        <f t="shared" si="69"/>
        <v>6.8356883818203187</v>
      </c>
      <c r="BK202" s="264" t="b">
        <f t="shared" si="66"/>
        <v>0</v>
      </c>
      <c r="BL202" s="266">
        <v>14</v>
      </c>
      <c r="DF202" s="217"/>
      <c r="DG202" s="217"/>
      <c r="DH202" s="217"/>
      <c r="DI202" s="217"/>
      <c r="DJ202" s="217"/>
      <c r="DK202" s="217"/>
      <c r="DP202" s="217"/>
      <c r="DQ202" s="217"/>
      <c r="DR202" s="217"/>
      <c r="DS202" s="217"/>
      <c r="DX202" s="217"/>
      <c r="DY202" s="217"/>
      <c r="DZ202" s="217"/>
      <c r="EA202" s="217"/>
      <c r="EB202" s="217"/>
      <c r="EC202" s="217"/>
    </row>
    <row r="203" spans="57:133" ht="20" x14ac:dyDescent="0.3">
      <c r="BE203" s="260">
        <v>15</v>
      </c>
      <c r="BF203" s="261">
        <f t="shared" si="67"/>
        <v>129</v>
      </c>
      <c r="BG203" s="31">
        <f t="shared" si="68"/>
        <v>129</v>
      </c>
      <c r="BH203" s="263">
        <f t="shared" si="64"/>
        <v>-135.83568838182032</v>
      </c>
      <c r="BI203" s="264">
        <f t="shared" si="65"/>
        <v>135.83568838182032</v>
      </c>
      <c r="BJ203" s="264">
        <f t="shared" si="69"/>
        <v>6.8356883818203187</v>
      </c>
      <c r="BK203" s="264" t="b">
        <f t="shared" si="66"/>
        <v>0</v>
      </c>
      <c r="BL203" s="266">
        <v>15</v>
      </c>
    </row>
    <row r="204" spans="57:133" ht="20" x14ac:dyDescent="0.3">
      <c r="BE204" s="260">
        <v>16</v>
      </c>
      <c r="BF204" s="261">
        <f t="shared" si="67"/>
        <v>172</v>
      </c>
      <c r="BG204" s="31">
        <f t="shared" si="68"/>
        <v>172</v>
      </c>
      <c r="BH204" s="263">
        <f t="shared" si="64"/>
        <v>-92.835688381820319</v>
      </c>
      <c r="BI204" s="264">
        <f t="shared" si="65"/>
        <v>92.835688381820319</v>
      </c>
      <c r="BJ204" s="264">
        <f t="shared" si="69"/>
        <v>6.8356883818203187</v>
      </c>
      <c r="BK204" s="264" t="b">
        <f t="shared" si="66"/>
        <v>0</v>
      </c>
      <c r="BL204" s="266">
        <v>16</v>
      </c>
    </row>
    <row r="205" spans="57:133" ht="20" x14ac:dyDescent="0.3">
      <c r="BE205" s="260">
        <v>17</v>
      </c>
      <c r="BF205" s="261">
        <f t="shared" si="67"/>
        <v>215</v>
      </c>
      <c r="BG205" s="31">
        <f t="shared" si="68"/>
        <v>215</v>
      </c>
      <c r="BH205" s="263">
        <f t="shared" si="64"/>
        <v>-49.835688381820319</v>
      </c>
      <c r="BI205" s="264">
        <f t="shared" si="65"/>
        <v>49.835688381820319</v>
      </c>
      <c r="BJ205" s="264">
        <f t="shared" si="69"/>
        <v>6.8356883818203187</v>
      </c>
      <c r="BK205" s="264" t="b">
        <f t="shared" si="66"/>
        <v>0</v>
      </c>
      <c r="BL205" s="266">
        <v>17</v>
      </c>
    </row>
    <row r="206" spans="57:133" ht="20" x14ac:dyDescent="0.3">
      <c r="BE206" s="260">
        <v>18</v>
      </c>
      <c r="BF206" s="261">
        <f t="shared" si="67"/>
        <v>258</v>
      </c>
      <c r="BG206" s="31">
        <f t="shared" si="68"/>
        <v>258</v>
      </c>
      <c r="BH206" s="263">
        <f t="shared" si="64"/>
        <v>-6.8356883818203187</v>
      </c>
      <c r="BI206" s="264">
        <f t="shared" si="65"/>
        <v>6.8356883818203187</v>
      </c>
      <c r="BJ206" s="264">
        <f t="shared" si="69"/>
        <v>6.8356883818203187</v>
      </c>
      <c r="BK206" s="264">
        <f t="shared" si="66"/>
        <v>18</v>
      </c>
      <c r="BL206" s="266">
        <v>18</v>
      </c>
    </row>
    <row r="207" spans="57:133" ht="20" x14ac:dyDescent="0.3">
      <c r="BE207" s="260">
        <v>19</v>
      </c>
      <c r="BF207" s="261">
        <f t="shared" si="67"/>
        <v>301</v>
      </c>
      <c r="BG207" s="31">
        <f t="shared" si="68"/>
        <v>301</v>
      </c>
      <c r="BH207" s="263">
        <f t="shared" si="64"/>
        <v>36.164311618179681</v>
      </c>
      <c r="BI207" s="264">
        <f t="shared" si="65"/>
        <v>36.164311618179681</v>
      </c>
      <c r="BJ207" s="264">
        <f t="shared" si="69"/>
        <v>6.8356883818203187</v>
      </c>
      <c r="BK207" s="264" t="b">
        <f t="shared" si="66"/>
        <v>0</v>
      </c>
      <c r="BL207" s="266">
        <v>19</v>
      </c>
    </row>
    <row r="208" spans="57:133" ht="20" x14ac:dyDescent="0.3">
      <c r="BE208" s="260">
        <v>20</v>
      </c>
      <c r="BF208" s="261">
        <f t="shared" si="67"/>
        <v>344</v>
      </c>
      <c r="BG208" s="31">
        <f t="shared" si="68"/>
        <v>344</v>
      </c>
      <c r="BH208" s="263">
        <f t="shared" si="64"/>
        <v>79.164311618179681</v>
      </c>
      <c r="BI208" s="264">
        <f t="shared" si="65"/>
        <v>79.164311618179681</v>
      </c>
      <c r="BJ208" s="264">
        <f t="shared" si="69"/>
        <v>6.8356883818203187</v>
      </c>
      <c r="BK208" s="264" t="b">
        <f t="shared" si="66"/>
        <v>0</v>
      </c>
      <c r="BL208" s="266">
        <v>20</v>
      </c>
    </row>
    <row r="209" spans="57:64" ht="20" x14ac:dyDescent="0.3">
      <c r="BE209" s="260">
        <v>21</v>
      </c>
      <c r="BF209" s="261">
        <f t="shared" si="67"/>
        <v>387</v>
      </c>
      <c r="BG209" s="31">
        <f t="shared" si="68"/>
        <v>387</v>
      </c>
      <c r="BH209" s="263">
        <f t="shared" si="64"/>
        <v>122.16431161817968</v>
      </c>
      <c r="BI209" s="264">
        <f t="shared" si="65"/>
        <v>122.16431161817968</v>
      </c>
      <c r="BJ209" s="264">
        <f t="shared" si="69"/>
        <v>6.8356883818203187</v>
      </c>
      <c r="BK209" s="264" t="b">
        <f t="shared" si="66"/>
        <v>0</v>
      </c>
      <c r="BL209" s="266">
        <v>21</v>
      </c>
    </row>
    <row r="210" spans="57:64" ht="20" x14ac:dyDescent="0.3">
      <c r="BE210" s="260">
        <v>22</v>
      </c>
      <c r="BF210" s="261">
        <f t="shared" si="67"/>
        <v>430</v>
      </c>
      <c r="BG210" s="31">
        <f t="shared" si="68"/>
        <v>430</v>
      </c>
      <c r="BH210" s="263">
        <f t="shared" si="64"/>
        <v>165.16431161817968</v>
      </c>
      <c r="BI210" s="264">
        <f t="shared" si="65"/>
        <v>165.16431161817968</v>
      </c>
      <c r="BJ210" s="264">
        <f t="shared" si="69"/>
        <v>6.8356883818203187</v>
      </c>
      <c r="BK210" s="264" t="b">
        <f t="shared" si="66"/>
        <v>0</v>
      </c>
      <c r="BL210" s="266">
        <v>22</v>
      </c>
    </row>
    <row r="211" spans="57:64" ht="20" x14ac:dyDescent="0.3">
      <c r="BE211" s="260">
        <v>23</v>
      </c>
      <c r="BF211" s="261">
        <f t="shared" si="67"/>
        <v>473</v>
      </c>
      <c r="BG211" s="31">
        <f t="shared" si="68"/>
        <v>473</v>
      </c>
      <c r="BH211" s="263">
        <f t="shared" si="64"/>
        <v>208.16431161817968</v>
      </c>
      <c r="BI211" s="264">
        <f t="shared" si="65"/>
        <v>208.16431161817968</v>
      </c>
      <c r="BJ211" s="264">
        <f t="shared" si="69"/>
        <v>6.8356883818203187</v>
      </c>
      <c r="BK211" s="264" t="b">
        <f t="shared" si="66"/>
        <v>0</v>
      </c>
      <c r="BL211" s="266">
        <v>23</v>
      </c>
    </row>
    <row r="212" spans="57:64" ht="20" x14ac:dyDescent="0.3">
      <c r="BE212" s="260">
        <v>24</v>
      </c>
      <c r="BF212" s="261">
        <f t="shared" si="67"/>
        <v>516</v>
      </c>
      <c r="BG212" s="31">
        <f t="shared" si="68"/>
        <v>516</v>
      </c>
      <c r="BH212" s="263">
        <f t="shared" si="64"/>
        <v>251.16431161817968</v>
      </c>
      <c r="BI212" s="264">
        <f t="shared" si="65"/>
        <v>251.16431161817968</v>
      </c>
      <c r="BJ212" s="264">
        <f t="shared" si="69"/>
        <v>6.8356883818203187</v>
      </c>
      <c r="BK212" s="264" t="b">
        <f t="shared" si="66"/>
        <v>0</v>
      </c>
      <c r="BL212" s="266">
        <v>24</v>
      </c>
    </row>
    <row r="213" spans="57:64" ht="20" x14ac:dyDescent="0.3">
      <c r="BE213" s="260">
        <v>25</v>
      </c>
      <c r="BF213" s="261">
        <f t="shared" si="67"/>
        <v>559</v>
      </c>
      <c r="BG213" s="31">
        <f t="shared" si="68"/>
        <v>559</v>
      </c>
      <c r="BH213" s="263">
        <f t="shared" si="64"/>
        <v>294.16431161817968</v>
      </c>
      <c r="BI213" s="264">
        <f t="shared" si="65"/>
        <v>294.16431161817968</v>
      </c>
      <c r="BJ213" s="264">
        <f t="shared" si="69"/>
        <v>6.8356883818203187</v>
      </c>
      <c r="BK213" s="264" t="b">
        <f t="shared" si="66"/>
        <v>0</v>
      </c>
      <c r="BL213" s="266">
        <v>25</v>
      </c>
    </row>
    <row r="214" spans="57:64" ht="20" x14ac:dyDescent="0.3">
      <c r="BE214" s="260">
        <v>26</v>
      </c>
      <c r="BF214" s="261">
        <f t="shared" si="67"/>
        <v>602</v>
      </c>
      <c r="BG214" s="31">
        <f t="shared" si="68"/>
        <v>602</v>
      </c>
      <c r="BH214" s="263">
        <f t="shared" si="64"/>
        <v>337.16431161817968</v>
      </c>
      <c r="BI214" s="264">
        <f t="shared" si="65"/>
        <v>337.16431161817968</v>
      </c>
      <c r="BJ214" s="264">
        <f t="shared" si="69"/>
        <v>6.8356883818203187</v>
      </c>
      <c r="BK214" s="264" t="b">
        <f t="shared" si="66"/>
        <v>0</v>
      </c>
      <c r="BL214" s="266">
        <v>26</v>
      </c>
    </row>
    <row r="215" spans="57:64" ht="20" x14ac:dyDescent="0.3">
      <c r="BE215" s="260">
        <v>27</v>
      </c>
      <c r="BF215" s="261">
        <f t="shared" si="67"/>
        <v>645</v>
      </c>
      <c r="BG215" s="31">
        <f t="shared" si="68"/>
        <v>645</v>
      </c>
      <c r="BH215" s="263">
        <f t="shared" si="64"/>
        <v>380.16431161817968</v>
      </c>
      <c r="BI215" s="264">
        <f t="shared" si="65"/>
        <v>380.16431161817968</v>
      </c>
      <c r="BJ215" s="264">
        <f t="shared" si="69"/>
        <v>6.8356883818203187</v>
      </c>
      <c r="BK215" s="264" t="b">
        <f t="shared" si="66"/>
        <v>0</v>
      </c>
      <c r="BL215" s="266">
        <v>27</v>
      </c>
    </row>
    <row r="216" spans="57:64" ht="20" x14ac:dyDescent="0.3">
      <c r="BE216" s="260">
        <v>28</v>
      </c>
      <c r="BF216" s="261">
        <f t="shared" si="67"/>
        <v>688</v>
      </c>
      <c r="BG216" s="31">
        <f t="shared" si="68"/>
        <v>688</v>
      </c>
      <c r="BH216" s="263">
        <f t="shared" si="64"/>
        <v>423.16431161817968</v>
      </c>
      <c r="BI216" s="264">
        <f t="shared" si="65"/>
        <v>423.16431161817968</v>
      </c>
      <c r="BJ216" s="264">
        <f t="shared" si="69"/>
        <v>6.8356883818203187</v>
      </c>
      <c r="BK216" s="264" t="b">
        <f t="shared" si="66"/>
        <v>0</v>
      </c>
      <c r="BL216" s="266">
        <v>28</v>
      </c>
    </row>
    <row r="217" spans="57:64" ht="20" x14ac:dyDescent="0.3">
      <c r="BE217" s="260">
        <v>29</v>
      </c>
      <c r="BF217" s="261">
        <f t="shared" si="67"/>
        <v>731</v>
      </c>
      <c r="BG217" s="31">
        <f t="shared" si="68"/>
        <v>731</v>
      </c>
      <c r="BH217" s="263">
        <f t="shared" si="64"/>
        <v>466.16431161817968</v>
      </c>
      <c r="BI217" s="264">
        <f t="shared" si="65"/>
        <v>466.16431161817968</v>
      </c>
      <c r="BJ217" s="264">
        <f t="shared" si="69"/>
        <v>6.8356883818203187</v>
      </c>
      <c r="BK217" s="264" t="b">
        <f t="shared" si="66"/>
        <v>0</v>
      </c>
      <c r="BL217" s="266">
        <v>29</v>
      </c>
    </row>
    <row r="218" spans="57:64" ht="20" x14ac:dyDescent="0.3">
      <c r="BE218" s="260">
        <v>30</v>
      </c>
      <c r="BF218" s="261">
        <f t="shared" si="67"/>
        <v>774</v>
      </c>
      <c r="BG218" s="31">
        <f t="shared" si="68"/>
        <v>774</v>
      </c>
      <c r="BH218" s="263">
        <f t="shared" si="64"/>
        <v>509.16431161817968</v>
      </c>
      <c r="BI218" s="264">
        <f t="shared" si="65"/>
        <v>509.16431161817968</v>
      </c>
      <c r="BJ218" s="264">
        <f t="shared" si="69"/>
        <v>6.8356883818203187</v>
      </c>
      <c r="BK218" s="264" t="b">
        <f t="shared" si="66"/>
        <v>0</v>
      </c>
      <c r="BL218" s="266">
        <v>30</v>
      </c>
    </row>
    <row r="219" spans="57:64" ht="20" x14ac:dyDescent="0.3">
      <c r="BE219" s="260">
        <v>31</v>
      </c>
      <c r="BF219" s="261">
        <f t="shared" si="67"/>
        <v>817</v>
      </c>
      <c r="BG219" s="31">
        <f t="shared" si="68"/>
        <v>817</v>
      </c>
      <c r="BH219" s="263">
        <f t="shared" si="64"/>
        <v>552.16431161817968</v>
      </c>
      <c r="BI219" s="264">
        <f t="shared" si="65"/>
        <v>552.16431161817968</v>
      </c>
      <c r="BJ219" s="264">
        <f t="shared" si="69"/>
        <v>6.8356883818203187</v>
      </c>
      <c r="BK219" s="264" t="b">
        <f t="shared" si="66"/>
        <v>0</v>
      </c>
      <c r="BL219" s="266">
        <v>31</v>
      </c>
    </row>
    <row r="220" spans="57:64" ht="20" x14ac:dyDescent="0.3">
      <c r="BE220" s="260">
        <v>32</v>
      </c>
      <c r="BF220" s="261">
        <f t="shared" si="67"/>
        <v>860</v>
      </c>
      <c r="BG220" s="31">
        <f t="shared" si="68"/>
        <v>860</v>
      </c>
      <c r="BH220" s="263">
        <f t="shared" si="64"/>
        <v>595.16431161817968</v>
      </c>
      <c r="BI220" s="264">
        <f t="shared" si="65"/>
        <v>595.16431161817968</v>
      </c>
      <c r="BJ220" s="264">
        <f t="shared" si="69"/>
        <v>6.8356883818203187</v>
      </c>
      <c r="BK220" s="264" t="b">
        <f t="shared" si="66"/>
        <v>0</v>
      </c>
      <c r="BL220" s="266">
        <v>32</v>
      </c>
    </row>
    <row r="221" spans="57:64" ht="20" x14ac:dyDescent="0.3">
      <c r="BE221" s="260">
        <v>33</v>
      </c>
      <c r="BF221" s="261">
        <f t="shared" si="67"/>
        <v>903</v>
      </c>
      <c r="BG221" s="31">
        <f t="shared" si="68"/>
        <v>903</v>
      </c>
      <c r="BH221" s="263">
        <f t="shared" si="64"/>
        <v>638.16431161817968</v>
      </c>
      <c r="BI221" s="264">
        <f t="shared" si="65"/>
        <v>638.16431161817968</v>
      </c>
      <c r="BJ221" s="264">
        <f t="shared" si="69"/>
        <v>6.8356883818203187</v>
      </c>
      <c r="BK221" s="264" t="b">
        <f t="shared" si="66"/>
        <v>0</v>
      </c>
      <c r="BL221" s="266">
        <v>33</v>
      </c>
    </row>
    <row r="222" spans="57:64" ht="20" x14ac:dyDescent="0.3">
      <c r="BE222" s="260">
        <v>34</v>
      </c>
      <c r="BF222" s="261">
        <f t="shared" si="67"/>
        <v>946</v>
      </c>
      <c r="BG222" s="31">
        <f t="shared" si="68"/>
        <v>946</v>
      </c>
      <c r="BH222" s="263">
        <f t="shared" si="64"/>
        <v>681.16431161817968</v>
      </c>
      <c r="BI222" s="264">
        <f t="shared" si="65"/>
        <v>681.16431161817968</v>
      </c>
      <c r="BJ222" s="264">
        <f t="shared" si="69"/>
        <v>6.8356883818203187</v>
      </c>
      <c r="BK222" s="264" t="b">
        <f t="shared" si="66"/>
        <v>0</v>
      </c>
      <c r="BL222" s="266">
        <v>34</v>
      </c>
    </row>
    <row r="223" spans="57:64" ht="20" x14ac:dyDescent="0.3">
      <c r="BE223" s="260">
        <v>35</v>
      </c>
      <c r="BF223" s="261">
        <f t="shared" si="67"/>
        <v>989</v>
      </c>
      <c r="BG223" s="31">
        <f t="shared" si="68"/>
        <v>989</v>
      </c>
      <c r="BH223" s="263">
        <f t="shared" si="64"/>
        <v>724.16431161817968</v>
      </c>
      <c r="BI223" s="264">
        <f t="shared" si="65"/>
        <v>724.16431161817968</v>
      </c>
      <c r="BJ223" s="264">
        <f t="shared" si="69"/>
        <v>6.8356883818203187</v>
      </c>
      <c r="BK223" s="264" t="b">
        <f t="shared" si="66"/>
        <v>0</v>
      </c>
      <c r="BL223" s="266">
        <v>35</v>
      </c>
    </row>
    <row r="224" spans="57:64" ht="20" x14ac:dyDescent="0.3">
      <c r="BE224" s="260">
        <v>36</v>
      </c>
      <c r="BF224" s="261">
        <f t="shared" si="67"/>
        <v>1032</v>
      </c>
      <c r="BG224" s="31">
        <f t="shared" si="68"/>
        <v>1032</v>
      </c>
      <c r="BH224" s="263">
        <f t="shared" si="64"/>
        <v>767.16431161817968</v>
      </c>
      <c r="BI224" s="264">
        <f t="shared" si="65"/>
        <v>767.16431161817968</v>
      </c>
      <c r="BJ224" s="264">
        <f t="shared" si="69"/>
        <v>6.8356883818203187</v>
      </c>
      <c r="BK224" s="264" t="b">
        <f t="shared" si="66"/>
        <v>0</v>
      </c>
      <c r="BL224" s="266">
        <v>36</v>
      </c>
    </row>
    <row r="225" spans="57:64" ht="20" x14ac:dyDescent="0.3">
      <c r="BE225" s="270">
        <v>37</v>
      </c>
      <c r="BF225" s="271">
        <f t="shared" si="67"/>
        <v>1075</v>
      </c>
      <c r="BG225" s="31">
        <f t="shared" si="68"/>
        <v>1075</v>
      </c>
      <c r="BH225" s="263">
        <f t="shared" si="64"/>
        <v>810.16431161817968</v>
      </c>
      <c r="BI225" s="264">
        <f t="shared" si="65"/>
        <v>810.16431161817968</v>
      </c>
      <c r="BJ225" s="264">
        <f t="shared" si="69"/>
        <v>6.8356883818203187</v>
      </c>
      <c r="BK225" s="264" t="b">
        <f t="shared" si="66"/>
        <v>0</v>
      </c>
      <c r="BL225" s="272">
        <v>37</v>
      </c>
    </row>
  </sheetData>
  <sheetProtection algorithmName="SHA-512" hashValue="I7o3HSGI2FZdSY97GXCnu/aReP9K329n9o/NvGhVuChctjDVw7QcowU8paU5PHfSw2CrkrsdXfuI6ER4keXk+Q==" saltValue="U/tyWI1+t9M8Tmlr5BE65g==" spinCount="100000" sheet="1" objects="1" scenarios="1" selectLockedCells="1"/>
  <protectedRanges>
    <protectedRange sqref="B132 B135 D138:D149 B156 D159:D164" name="Range1"/>
  </protectedRanges>
  <mergeCells count="23">
    <mergeCell ref="BV170:BW170"/>
    <mergeCell ref="B130:B131"/>
    <mergeCell ref="W135:AA135"/>
    <mergeCell ref="AZ135:BA135"/>
    <mergeCell ref="AZ156:BA156"/>
    <mergeCell ref="BV168:BX168"/>
    <mergeCell ref="DF109:DG109"/>
    <mergeCell ref="CH170:CI170"/>
    <mergeCell ref="DK175:DM175"/>
    <mergeCell ref="DK177:DL177"/>
    <mergeCell ref="DW177:DX177"/>
    <mergeCell ref="B112:E112"/>
    <mergeCell ref="BQ51:BR51"/>
    <mergeCell ref="CQ52:DA53"/>
    <mergeCell ref="BQ53:BR53"/>
    <mergeCell ref="CO53:CP53"/>
    <mergeCell ref="BQ55:CA56"/>
    <mergeCell ref="CB56:CC56"/>
    <mergeCell ref="CZ56:DA56"/>
    <mergeCell ref="BQ58:CA59"/>
    <mergeCell ref="CS58:DA59"/>
    <mergeCell ref="CB59:CC59"/>
    <mergeCell ref="CQ59:CR59"/>
  </mergeCells>
  <conditionalFormatting sqref="B138:B149">
    <cfRule type="cellIs" dxfId="189" priority="112" stopIfTrue="1" operator="greaterThan">
      <formula>$B$135</formula>
    </cfRule>
  </conditionalFormatting>
  <conditionalFormatting sqref="B160:G160 J160:AH160 AJ160 AM160 AO160:BA160 AP161:AP164">
    <cfRule type="expression" dxfId="188" priority="97" stopIfTrue="1">
      <formula>$B$156&lt;2</formula>
    </cfRule>
  </conditionalFormatting>
  <conditionalFormatting sqref="B161:G161 J161:AH161 AJ161 AM161 AO161 AQ161:BA161">
    <cfRule type="expression" dxfId="187" priority="96" stopIfTrue="1">
      <formula>$B$156&lt;3</formula>
    </cfRule>
  </conditionalFormatting>
  <conditionalFormatting sqref="B162:G162 J162:AH162 AJ162 AM162 AO162 AQ162:BA162">
    <cfRule type="expression" dxfId="186" priority="95" stopIfTrue="1">
      <formula>$B$156&lt;4</formula>
    </cfRule>
  </conditionalFormatting>
  <conditionalFormatting sqref="B163:G163 J163:AH163 AJ163 AM163 AO163 AQ163:BA163">
    <cfRule type="expression" dxfId="185" priority="94" stopIfTrue="1">
      <formula>$B$156&lt;5</formula>
    </cfRule>
  </conditionalFormatting>
  <conditionalFormatting sqref="B164:G164 J164:AH164 AJ164 AM164 AO164 AQ164:BA164">
    <cfRule type="expression" dxfId="184" priority="93">
      <formula>$B$156&lt;6</formula>
    </cfRule>
  </conditionalFormatting>
  <conditionalFormatting sqref="C120">
    <cfRule type="cellIs" dxfId="183" priority="42" stopIfTrue="1" operator="between">
      <formula>"OVERLOAD"</formula>
      <formula>"OVERLOAD"</formula>
    </cfRule>
  </conditionalFormatting>
  <conditionalFormatting sqref="D131">
    <cfRule type="cellIs" dxfId="182" priority="22" stopIfTrue="1" operator="equal">
      <formula>"USE EXBAR AR AT THE FRONT"</formula>
    </cfRule>
  </conditionalFormatting>
  <conditionalFormatting sqref="D132">
    <cfRule type="cellIs" dxfId="181" priority="21" stopIfTrue="1" operator="equal">
      <formula>"USE EXBAR AR AT THE BACK"</formula>
    </cfRule>
  </conditionalFormatting>
  <conditionalFormatting sqref="D138:D149">
    <cfRule type="cellIs" dxfId="180" priority="113" stopIfTrue="1" operator="notEqual">
      <formula>0</formula>
    </cfRule>
  </conditionalFormatting>
  <conditionalFormatting sqref="D159:D164">
    <cfRule type="cellIs" dxfId="179" priority="101" stopIfTrue="1" operator="notEqual">
      <formula>0</formula>
    </cfRule>
  </conditionalFormatting>
  <conditionalFormatting sqref="D161:D164">
    <cfRule type="expression" dxfId="178" priority="1" stopIfTrue="1">
      <formula>$B$156&lt;2</formula>
    </cfRule>
  </conditionalFormatting>
  <conditionalFormatting sqref="D129:F130">
    <cfRule type="cellIs" dxfId="177" priority="23" stopIfTrue="1" operator="equal">
      <formula>"change the angle of frame or of cabinets"</formula>
    </cfRule>
  </conditionalFormatting>
  <conditionalFormatting sqref="D138:G138 R138 T138:Y138 AB138">
    <cfRule type="expression" dxfId="176" priority="64" stopIfTrue="1">
      <formula>$B$135&lt;1</formula>
    </cfRule>
  </conditionalFormatting>
  <conditionalFormatting sqref="D139:AB139">
    <cfRule type="expression" dxfId="175" priority="63" stopIfTrue="1">
      <formula>$B$135&lt;2</formula>
    </cfRule>
  </conditionalFormatting>
  <conditionalFormatting sqref="D140:AB140">
    <cfRule type="expression" dxfId="174" priority="62" stopIfTrue="1">
      <formula>$B$135&lt;3</formula>
    </cfRule>
  </conditionalFormatting>
  <conditionalFormatting sqref="D141:AB141">
    <cfRule type="expression" dxfId="173" priority="61" stopIfTrue="1">
      <formula>$B$135&lt;4</formula>
    </cfRule>
  </conditionalFormatting>
  <conditionalFormatting sqref="D142:AB142">
    <cfRule type="expression" dxfId="172" priority="60" stopIfTrue="1">
      <formula>$B$135&lt;5</formula>
    </cfRule>
  </conditionalFormatting>
  <conditionalFormatting sqref="D143:AB143">
    <cfRule type="expression" dxfId="171" priority="59" stopIfTrue="1">
      <formula>$B$135&lt;6</formula>
    </cfRule>
  </conditionalFormatting>
  <conditionalFormatting sqref="D144:AB144">
    <cfRule type="expression" dxfId="170" priority="58" stopIfTrue="1">
      <formula>$B$135&lt;7</formula>
    </cfRule>
  </conditionalFormatting>
  <conditionalFormatting sqref="D145:AB145">
    <cfRule type="expression" dxfId="169" priority="57" stopIfTrue="1">
      <formula>$B$135&lt;8</formula>
    </cfRule>
  </conditionalFormatting>
  <conditionalFormatting sqref="D146:AB146">
    <cfRule type="expression" dxfId="168" priority="56" stopIfTrue="1">
      <formula>$B$135&lt;9</formula>
    </cfRule>
  </conditionalFormatting>
  <conditionalFormatting sqref="D147:AB147">
    <cfRule type="expression" dxfId="167" priority="55" stopIfTrue="1">
      <formula>$B$135&lt;10</formula>
    </cfRule>
  </conditionalFormatting>
  <conditionalFormatting sqref="D148:AB148">
    <cfRule type="expression" dxfId="166" priority="54" stopIfTrue="1">
      <formula>$B$135&lt;11</formula>
    </cfRule>
  </conditionalFormatting>
  <conditionalFormatting sqref="D149:AB149 AX149:BA149">
    <cfRule type="expression" dxfId="165" priority="52" stopIfTrue="1">
      <formula>$B$135&lt;12</formula>
    </cfRule>
  </conditionalFormatting>
  <conditionalFormatting sqref="E132 E131:F131">
    <cfRule type="cellIs" dxfId="164" priority="116" stopIfTrue="1" operator="equal">
      <formula>"USE EXBAR VR AT THE FRONT"</formula>
    </cfRule>
  </conditionalFormatting>
  <conditionalFormatting sqref="E132:F132">
    <cfRule type="cellIs" dxfId="163" priority="115" stopIfTrue="1" operator="equal">
      <formula>"USE EXBAR VR AT THE BACK"</formula>
    </cfRule>
  </conditionalFormatting>
  <conditionalFormatting sqref="K138:O138">
    <cfRule type="expression" dxfId="162" priority="111" stopIfTrue="1">
      <formula>$B$135&lt;1</formula>
    </cfRule>
  </conditionalFormatting>
  <conditionalFormatting sqref="U52 AB52:AE52 U55:U60 AB55:AE60 U89:U120 AB89:AE120">
    <cfRule type="cellIs" dxfId="161" priority="118" stopIfTrue="1" operator="between">
      <formula>"OVERLOAD"</formula>
      <formula>"OVERLOAD"</formula>
    </cfRule>
  </conditionalFormatting>
  <conditionalFormatting sqref="Z138:AA138">
    <cfRule type="expression" dxfId="160" priority="51" stopIfTrue="1">
      <formula>$B$138&lt;1</formula>
    </cfRule>
  </conditionalFormatting>
  <conditionalFormatting sqref="AC139:AC149">
    <cfRule type="expression" dxfId="159" priority="47" stopIfTrue="1">
      <formula>$B$138&lt;1</formula>
    </cfRule>
  </conditionalFormatting>
  <conditionalFormatting sqref="AC138:AD138">
    <cfRule type="expression" dxfId="158" priority="50" stopIfTrue="1">
      <formula>$B$138&lt;1</formula>
    </cfRule>
  </conditionalFormatting>
  <conditionalFormatting sqref="AD138:AE149">
    <cfRule type="expression" dxfId="157" priority="43" stopIfTrue="1">
      <formula>$B$138&lt;1</formula>
    </cfRule>
  </conditionalFormatting>
  <conditionalFormatting sqref="AX139:BA139">
    <cfRule type="expression" dxfId="156" priority="109" stopIfTrue="1">
      <formula>$B$135&lt;2</formula>
    </cfRule>
  </conditionalFormatting>
  <conditionalFormatting sqref="AX140:BA140">
    <cfRule type="expression" dxfId="155" priority="108" stopIfTrue="1">
      <formula>$B$135&lt;3</formula>
    </cfRule>
  </conditionalFormatting>
  <conditionalFormatting sqref="AX141:BA141">
    <cfRule type="expression" dxfId="154" priority="107" stopIfTrue="1">
      <formula>$B$135&lt;4</formula>
    </cfRule>
  </conditionalFormatting>
  <conditionalFormatting sqref="AX142:BA142">
    <cfRule type="expression" dxfId="153" priority="106" stopIfTrue="1">
      <formula>$B$135&lt;5</formula>
    </cfRule>
  </conditionalFormatting>
  <conditionalFormatting sqref="AX143:BA143">
    <cfRule type="expression" dxfId="152" priority="105" stopIfTrue="1">
      <formula>$B$135&lt;6</formula>
    </cfRule>
  </conditionalFormatting>
  <conditionalFormatting sqref="AX144:BA144">
    <cfRule type="expression" dxfId="151" priority="104" stopIfTrue="1">
      <formula>$B$135&lt;7</formula>
    </cfRule>
  </conditionalFormatting>
  <conditionalFormatting sqref="AX145:BA145">
    <cfRule type="expression" dxfId="150" priority="103" stopIfTrue="1">
      <formula>$B$135&lt;8</formula>
    </cfRule>
  </conditionalFormatting>
  <conditionalFormatting sqref="AX146:BA146">
    <cfRule type="expression" dxfId="149" priority="102" stopIfTrue="1">
      <formula>$B$135&lt;9</formula>
    </cfRule>
  </conditionalFormatting>
  <conditionalFormatting sqref="AX147:BA147">
    <cfRule type="expression" dxfId="148" priority="78" stopIfTrue="1">
      <formula>$B$135&lt;10</formula>
    </cfRule>
  </conditionalFormatting>
  <conditionalFormatting sqref="AX148:BA148">
    <cfRule type="expression" dxfId="147" priority="65" stopIfTrue="1">
      <formula>$B$135&lt;11</formula>
    </cfRule>
  </conditionalFormatting>
  <conditionalFormatting sqref="AZ138:BA149">
    <cfRule type="cellIs" dxfId="146" priority="110" stopIfTrue="1" operator="lessThan">
      <formula>10</formula>
    </cfRule>
  </conditionalFormatting>
  <conditionalFormatting sqref="AZ159:BA164">
    <cfRule type="cellIs" dxfId="145" priority="99" stopIfTrue="1" operator="lessThan">
      <formula>10</formula>
    </cfRule>
  </conditionalFormatting>
  <conditionalFormatting sqref="BK189:BK225">
    <cfRule type="cellIs" dxfId="144" priority="31" stopIfTrue="1" operator="equal">
      <formula>FALSE</formula>
    </cfRule>
  </conditionalFormatting>
  <conditionalFormatting sqref="BN52">
    <cfRule type="cellIs" dxfId="143" priority="20" stopIfTrue="1" operator="equal">
      <formula>"negative force at the motor"</formula>
    </cfRule>
  </conditionalFormatting>
  <conditionalFormatting sqref="BN52:BN53">
    <cfRule type="cellIs" dxfId="142" priority="19" operator="equal">
      <formula>"""OK"""</formula>
    </cfRule>
  </conditionalFormatting>
  <conditionalFormatting sqref="BN53">
    <cfRule type="cellIs" dxfId="141" priority="27" stopIfTrue="1" operator="equal">
      <formula>"overload"</formula>
    </cfRule>
  </conditionalFormatting>
  <conditionalFormatting sqref="BN55">
    <cfRule type="cellIs" dxfId="140" priority="18" stopIfTrue="1" operator="equal">
      <formula>"negative force at the motor"</formula>
    </cfRule>
  </conditionalFormatting>
  <conditionalFormatting sqref="BN55:BN56">
    <cfRule type="cellIs" dxfId="139" priority="17" operator="equal">
      <formula>"""OK"""</formula>
    </cfRule>
  </conditionalFormatting>
  <conditionalFormatting sqref="BN58">
    <cfRule type="cellIs" dxfId="138" priority="16" stopIfTrue="1" operator="equal">
      <formula>"negative force at the motor"</formula>
    </cfRule>
  </conditionalFormatting>
  <conditionalFormatting sqref="BN58:BN59">
    <cfRule type="cellIs" dxfId="137" priority="15" operator="equal">
      <formula>"""OK"""</formula>
    </cfRule>
  </conditionalFormatting>
  <conditionalFormatting sqref="BN82 BN87 BN128 BN56 BN59">
    <cfRule type="cellIs" dxfId="136" priority="25" stopIfTrue="1" operator="equal">
      <formula>"overload"</formula>
    </cfRule>
  </conditionalFormatting>
  <conditionalFormatting sqref="BN82 BN128 BN87">
    <cfRule type="cellIs" dxfId="135" priority="24" operator="equal">
      <formula>"""OK"""</formula>
    </cfRule>
  </conditionalFormatting>
  <conditionalFormatting sqref="BO81:BO82 BN82 BN128">
    <cfRule type="expression" dxfId="134" priority="12">
      <formula>$B$132&lt;&gt;0</formula>
    </cfRule>
  </conditionalFormatting>
  <conditionalFormatting sqref="BO127:BO128">
    <cfRule type="expression" dxfId="133" priority="5">
      <formula>$B$132&lt;&gt;0</formula>
    </cfRule>
  </conditionalFormatting>
  <conditionalFormatting sqref="BQ127:CG127">
    <cfRule type="expression" dxfId="132" priority="11">
      <formula>$B$132=0</formula>
    </cfRule>
  </conditionalFormatting>
  <conditionalFormatting sqref="BQ83:DB85 BV130:CI134 BQ191:CN192">
    <cfRule type="cellIs" dxfId="131" priority="34" stopIfTrue="1" operator="equal">
      <formula>FALSE</formula>
    </cfRule>
  </conditionalFormatting>
  <conditionalFormatting sqref="CB81:CR81">
    <cfRule type="expression" dxfId="130" priority="14">
      <formula>$B$132=0</formula>
    </cfRule>
    <cfRule type="cellIs" dxfId="129" priority="13" operator="equal">
      <formula>0</formula>
    </cfRule>
  </conditionalFormatting>
  <conditionalFormatting sqref="CK127:DA127">
    <cfRule type="expression" dxfId="128" priority="10">
      <formula>$B$132=0</formula>
    </cfRule>
  </conditionalFormatting>
  <conditionalFormatting sqref="DF196:EC196">
    <cfRule type="cellIs" dxfId="127" priority="39" stopIfTrue="1" operator="equal">
      <formula>0</formula>
    </cfRule>
  </conditionalFormatting>
  <conditionalFormatting sqref="DF198:EC199">
    <cfRule type="cellIs" dxfId="126" priority="117" stopIfTrue="1" operator="equal">
      <formula>FALSE</formula>
    </cfRule>
  </conditionalFormatting>
  <dataValidations count="8">
    <dataValidation type="decimal" allowBlank="1" showInputMessage="1" showErrorMessage="1" sqref="B132" xr:uid="{00000000-0002-0000-0600-000000000000}">
      <formula1>-89.9</formula1>
      <formula2>89.9</formula2>
    </dataValidation>
    <dataValidation type="custom" allowBlank="1" showInputMessage="1" showErrorMessage="1" sqref="D138:D149" xr:uid="{00000000-0002-0000-0600-000001000000}">
      <formula1>OR(D138=0,D138=2.5,D138=5)</formula1>
    </dataValidation>
    <dataValidation type="list" allowBlank="1" showInputMessage="1" showErrorMessage="1" sqref="D159" xr:uid="{00000000-0002-0000-0600-000002000000}">
      <formula1>"0"</formula1>
    </dataValidation>
    <dataValidation type="whole" allowBlank="1" showInputMessage="1" showErrorMessage="1" errorTitle="Coda Audio" error="YOU HAVE ENTERED A WRONG NUMBER OF CABINETS" promptTitle="Coda Audio" prompt="ENTER THE NUMBER OF CABINETS FROM 1 UP TO 6" sqref="B156" xr:uid="{00000000-0002-0000-0600-000003000000}">
      <formula1>1</formula1>
      <formula2>6</formula2>
    </dataValidation>
    <dataValidation type="whole" allowBlank="1" showInputMessage="1" showErrorMessage="1" errorTitle="Coda Audio" error="YOU HAVE ENTERED A WRONG NUMBER OF CABINETS" promptTitle="Coda Audio" prompt="ENTER THE NUMBER OF CABINETS FROM 1 UP TO 12" sqref="B135" xr:uid="{00000000-0002-0000-0600-000004000000}">
      <formula1>1</formula1>
      <formula2>12</formula2>
    </dataValidation>
    <dataValidation type="decimal" allowBlank="1" showInputMessage="1" showErrorMessage="1" sqref="G139:G149 G160:G164 F140:F149 F161:F164" xr:uid="{00000000-0002-0000-0600-000005000000}">
      <formula1>0</formula1>
      <formula2>8</formula2>
    </dataValidation>
    <dataValidation type="decimal" allowBlank="1" showInputMessage="1" showErrorMessage="1" sqref="F138:G138 F159:G159" xr:uid="{00000000-0002-0000-0600-000006000000}">
      <formula1>0</formula1>
      <formula2>4</formula2>
    </dataValidation>
    <dataValidation type="custom" allowBlank="1" showInputMessage="1" showErrorMessage="1" sqref="D160:D164" xr:uid="{00000000-0002-0000-0600-000007000000}">
      <formula1>OR(D160=0.5,D160=1,D160=2,D160=2.5,D160=3,D160=4,D160=5,D160=6,D160=7,D160=8,D160=9,D160=10)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ignoredErrors>
    <ignoredError sqref="BN52:BO52 BN61:BO86 BN54:BO55 BN53 BN57:BO60 BN56 BN87" unlockedFormula="1"/>
  </ignoredErrors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FFFF00"/>
  </sheetPr>
  <dimension ref="B1:EM217"/>
  <sheetViews>
    <sheetView topLeftCell="A25" zoomScale="55" zoomScaleNormal="55" workbookViewId="0">
      <selection activeCell="D150" sqref="D150"/>
    </sheetView>
  </sheetViews>
  <sheetFormatPr baseColWidth="10" defaultColWidth="9.1640625" defaultRowHeight="18" x14ac:dyDescent="0.2"/>
  <cols>
    <col min="1" max="1" width="1.5" customWidth="1"/>
    <col min="2" max="2" width="35.33203125" style="24" customWidth="1"/>
    <col min="3" max="3" width="29.6640625" style="24" hidden="1" customWidth="1"/>
    <col min="4" max="4" width="31" customWidth="1"/>
    <col min="5" max="5" width="46" customWidth="1"/>
    <col min="6" max="6" width="39.1640625" hidden="1" customWidth="1"/>
    <col min="7" max="7" width="47.6640625" hidden="1" customWidth="1"/>
    <col min="8" max="9" width="17.5" style="48" hidden="1" customWidth="1"/>
    <col min="10" max="13" width="16.6640625" style="48" hidden="1" customWidth="1"/>
    <col min="14" max="14" width="8" style="48" hidden="1" customWidth="1"/>
    <col min="15" max="20" width="11.33203125" style="48" hidden="1" customWidth="1"/>
    <col min="21" max="21" width="11.6640625" style="48" hidden="1" customWidth="1"/>
    <col min="22" max="22" width="19.83203125" style="48" hidden="1" customWidth="1"/>
    <col min="23" max="24" width="18" style="48" hidden="1" customWidth="1"/>
    <col min="25" max="25" width="15" style="48" hidden="1" customWidth="1"/>
    <col min="26" max="26" width="18" style="48" hidden="1" customWidth="1"/>
    <col min="27" max="27" width="20.83203125" style="48" hidden="1" customWidth="1"/>
    <col min="28" max="28" width="29.83203125" style="48" customWidth="1"/>
    <col min="29" max="29" width="26.33203125" style="48" hidden="1" customWidth="1"/>
    <col min="30" max="31" width="13.33203125" style="48" hidden="1" customWidth="1"/>
    <col min="32" max="32" width="32.6640625" style="48" hidden="1" customWidth="1"/>
    <col min="33" max="33" width="16.83203125" style="48" hidden="1" customWidth="1"/>
    <col min="34" max="34" width="11.33203125" style="48" hidden="1" customWidth="1"/>
    <col min="35" max="35" width="19.83203125" style="48" hidden="1" customWidth="1"/>
    <col min="36" max="36" width="18.83203125" style="48" hidden="1" customWidth="1"/>
    <col min="37" max="37" width="33" style="48" hidden="1" customWidth="1"/>
    <col min="38" max="38" width="19.1640625" style="48" hidden="1" customWidth="1"/>
    <col min="39" max="39" width="22.5" style="48" hidden="1" customWidth="1"/>
    <col min="40" max="40" width="32.5" style="48" hidden="1" customWidth="1"/>
    <col min="41" max="41" width="27.33203125" style="48" hidden="1" customWidth="1"/>
    <col min="42" max="42" width="44.83203125" style="48" hidden="1" customWidth="1"/>
    <col min="43" max="43" width="28.5" style="48" hidden="1" customWidth="1"/>
    <col min="44" max="44" width="19.83203125" style="48" hidden="1" customWidth="1"/>
    <col min="45" max="45" width="20.83203125" style="48" hidden="1" customWidth="1"/>
    <col min="46" max="46" width="32.1640625" style="48" hidden="1" customWidth="1"/>
    <col min="47" max="47" width="19.83203125" style="48" hidden="1" customWidth="1"/>
    <col min="48" max="48" width="22.33203125" style="48" hidden="1" customWidth="1"/>
    <col min="49" max="49" width="20.83203125" style="48" hidden="1" customWidth="1"/>
    <col min="50" max="50" width="25.6640625" style="48" hidden="1" customWidth="1"/>
    <col min="51" max="51" width="24.33203125" style="48" hidden="1" customWidth="1"/>
    <col min="52" max="53" width="18.33203125" style="48" customWidth="1"/>
    <col min="54" max="54" width="17" hidden="1" customWidth="1"/>
    <col min="55" max="55" width="14.5" hidden="1" customWidth="1"/>
    <col min="56" max="56" width="9.33203125" hidden="1" customWidth="1"/>
    <col min="57" max="57" width="5.33203125" hidden="1" customWidth="1"/>
    <col min="58" max="58" width="8.5" hidden="1" customWidth="1"/>
    <col min="59" max="59" width="18.33203125" hidden="1" customWidth="1"/>
    <col min="60" max="60" width="17" hidden="1" customWidth="1"/>
    <col min="61" max="62" width="16.33203125" hidden="1" customWidth="1"/>
    <col min="63" max="63" width="9.5" hidden="1" customWidth="1"/>
    <col min="64" max="64" width="9.6640625" hidden="1" customWidth="1"/>
    <col min="65" max="65" width="25.5" style="65" hidden="1" customWidth="1"/>
    <col min="66" max="66" width="28.5" customWidth="1"/>
    <col min="67" max="67" width="35.33203125" style="43" customWidth="1"/>
    <col min="68" max="68" width="44.6640625" customWidth="1"/>
    <col min="69" max="105" width="7.1640625" customWidth="1"/>
    <col min="106" max="106" width="7.6640625" hidden="1" customWidth="1"/>
    <col min="107" max="107" width="16" hidden="1" customWidth="1"/>
    <col min="108" max="108" width="41" hidden="1" customWidth="1"/>
    <col min="109" max="109" width="41.5" hidden="1" customWidth="1"/>
    <col min="110" max="119" width="6.5" hidden="1" customWidth="1"/>
    <col min="120" max="139" width="6.5" customWidth="1"/>
    <col min="143" max="143" width="11.5" customWidth="1"/>
    <col min="144" max="144" width="9.33203125" customWidth="1"/>
  </cols>
  <sheetData>
    <row r="1" spans="2:15" ht="20" hidden="1" x14ac:dyDescent="0.2">
      <c r="D1" s="25" t="s">
        <v>93</v>
      </c>
      <c r="E1" s="25" t="s">
        <v>94</v>
      </c>
      <c r="F1" s="25" t="s">
        <v>95</v>
      </c>
      <c r="G1" s="789" t="s">
        <v>165</v>
      </c>
      <c r="H1" s="846">
        <v>18000</v>
      </c>
      <c r="I1" s="791"/>
      <c r="J1" s="791"/>
      <c r="K1" s="791"/>
      <c r="L1" s="791"/>
      <c r="M1" s="791"/>
      <c r="N1" s="791"/>
      <c r="O1" s="792"/>
    </row>
    <row r="2" spans="2:15" ht="20" hidden="1" x14ac:dyDescent="0.2">
      <c r="B2" s="295" t="s">
        <v>24</v>
      </c>
      <c r="C2" s="28">
        <v>688</v>
      </c>
      <c r="D2" s="29">
        <f>+COS(($B$144*-1)*3.14159265358979/180)*C2</f>
        <v>688</v>
      </c>
      <c r="E2" s="30">
        <f>+COS(($B$144*-1)*3.14159265358979/180)*43</f>
        <v>43</v>
      </c>
      <c r="F2" s="31">
        <f>+COS((($B$144*-1)+72.969997)*3.14159265358979/180)*162.1867</f>
        <v>47.500013702602963</v>
      </c>
      <c r="G2" s="793" t="s">
        <v>157</v>
      </c>
      <c r="H2" s="847">
        <v>77</v>
      </c>
      <c r="I2"/>
      <c r="J2"/>
      <c r="K2"/>
      <c r="L2"/>
      <c r="M2"/>
      <c r="N2"/>
      <c r="O2" s="794"/>
    </row>
    <row r="3" spans="2:15" ht="21" hidden="1" thickBot="1" x14ac:dyDescent="0.25">
      <c r="B3" s="27" t="s">
        <v>102</v>
      </c>
      <c r="C3" s="32">
        <f>+C9-47.5</f>
        <v>263.49642641585325</v>
      </c>
      <c r="D3" s="29">
        <f>+C9-F2</f>
        <v>263.49641271325027</v>
      </c>
      <c r="G3" s="793" t="s">
        <v>158</v>
      </c>
      <c r="H3" s="848">
        <v>215</v>
      </c>
      <c r="I3" s="165"/>
      <c r="J3"/>
      <c r="K3"/>
      <c r="L3"/>
      <c r="M3"/>
      <c r="N3"/>
      <c r="O3" s="794"/>
    </row>
    <row r="4" spans="2:15" ht="58" hidden="1" thickBot="1" x14ac:dyDescent="0.25">
      <c r="B4" s="33" t="s">
        <v>103</v>
      </c>
      <c r="C4" s="34">
        <v>1075</v>
      </c>
      <c r="D4" s="29">
        <f>+COS(($B$144*-1)*3.14159265358979/180)*C4</f>
        <v>1075</v>
      </c>
      <c r="G4" s="795" t="s">
        <v>178</v>
      </c>
      <c r="H4" s="849">
        <v>860</v>
      </c>
      <c r="I4" s="783">
        <v>1</v>
      </c>
      <c r="J4" s="1047" t="s">
        <v>173</v>
      </c>
      <c r="K4" s="1054"/>
      <c r="L4" s="1054"/>
      <c r="M4" s="1054"/>
      <c r="N4"/>
      <c r="O4" s="794"/>
    </row>
    <row r="5" spans="2:15" ht="38" hidden="1" x14ac:dyDescent="0.2">
      <c r="B5" s="33" t="s">
        <v>104</v>
      </c>
      <c r="C5" s="34">
        <f>+C9+425.5</f>
        <v>736.49642641585319</v>
      </c>
      <c r="D5" s="29">
        <f>+(COS(($B$144*-1)*3.14159265358979/180)*473)+$D$3</f>
        <v>736.49641271325027</v>
      </c>
      <c r="G5" s="795" t="s">
        <v>159</v>
      </c>
      <c r="H5" s="849">
        <v>688</v>
      </c>
      <c r="I5"/>
      <c r="J5" s="761" t="s">
        <v>162</v>
      </c>
      <c r="K5" s="761" t="s">
        <v>170</v>
      </c>
      <c r="L5" s="771" t="s">
        <v>169</v>
      </c>
      <c r="M5" s="924"/>
      <c r="N5"/>
      <c r="O5" s="794"/>
    </row>
    <row r="6" spans="2:15" ht="20" hidden="1" x14ac:dyDescent="0.2">
      <c r="B6" s="170"/>
      <c r="C6" s="170"/>
      <c r="G6" s="795" t="s">
        <v>204</v>
      </c>
      <c r="H6" s="849">
        <v>602</v>
      </c>
      <c r="I6"/>
      <c r="J6" s="763">
        <f>+H9/H8*BQ27</f>
        <v>171.09703180291012</v>
      </c>
      <c r="K6" s="763">
        <f>((H8-H9)/H8)*BQ27</f>
        <v>-117.62920936450071</v>
      </c>
      <c r="L6" s="763">
        <f>+CO27</f>
        <v>116.3321775615906</v>
      </c>
      <c r="M6" s="761" t="s">
        <v>168</v>
      </c>
      <c r="N6"/>
      <c r="O6" s="794"/>
    </row>
    <row r="7" spans="2:15" ht="20" hidden="1" x14ac:dyDescent="0.2">
      <c r="B7" s="296" t="s">
        <v>16</v>
      </c>
      <c r="C7" s="297">
        <f>+C11+C14+4.5+0.5+30</f>
        <v>169.8</v>
      </c>
      <c r="G7" s="796" t="s">
        <v>175</v>
      </c>
      <c r="H7" s="850">
        <f>(+SIN(($B$144*-1)*3.14159265358979/180)*H2)</f>
        <v>0</v>
      </c>
      <c r="I7"/>
      <c r="J7" s="764">
        <f>ABS($H$1/J6)</f>
        <v>105.20346151144537</v>
      </c>
      <c r="K7" s="764">
        <f>ABS($H$1/K6)</f>
        <v>153.02321674392053</v>
      </c>
      <c r="L7" s="764">
        <f>ABS($H$1/L6)</f>
        <v>154.72933093227905</v>
      </c>
      <c r="M7" s="766" t="s">
        <v>167</v>
      </c>
      <c r="N7"/>
      <c r="O7" s="794"/>
    </row>
    <row r="8" spans="2:15" ht="20" hidden="1" x14ac:dyDescent="0.2">
      <c r="B8" s="296" t="s">
        <v>17</v>
      </c>
      <c r="C8" s="296">
        <f>+AR150</f>
        <v>746.99500648721551</v>
      </c>
      <c r="G8" s="796" t="s">
        <v>174</v>
      </c>
      <c r="H8" s="850">
        <f>(+COS(($B$144*-1)*3.14159265358979/180)*H3)</f>
        <v>215</v>
      </c>
      <c r="I8"/>
      <c r="J8" s="1045">
        <f>ABS($E$20/BQ27)</f>
        <v>149.62270081627787</v>
      </c>
      <c r="K8" s="1045"/>
      <c r="L8" s="1045">
        <f>ABS($E$20/CO27)</f>
        <v>68.768591525457353</v>
      </c>
      <c r="M8" s="1046" t="s">
        <v>308</v>
      </c>
      <c r="N8"/>
      <c r="O8" s="794"/>
    </row>
    <row r="9" spans="2:15" ht="21" hidden="1" thickBot="1" x14ac:dyDescent="0.25">
      <c r="B9" s="296" t="s">
        <v>14</v>
      </c>
      <c r="C9" s="296">
        <f>+AO146</f>
        <v>310.99642641585325</v>
      </c>
      <c r="G9" s="793" t="s">
        <v>172</v>
      </c>
      <c r="H9" s="850">
        <f>+D2+H7</f>
        <v>688</v>
      </c>
      <c r="I9"/>
      <c r="J9" s="43"/>
      <c r="K9" s="43"/>
      <c r="L9" s="43"/>
      <c r="M9" s="43"/>
      <c r="N9"/>
      <c r="O9" s="794"/>
    </row>
    <row r="10" spans="2:15" ht="23.25" hidden="1" customHeight="1" thickBot="1" x14ac:dyDescent="0.25">
      <c r="B10" s="955" t="s">
        <v>101</v>
      </c>
      <c r="C10" s="975">
        <v>72</v>
      </c>
      <c r="D10" s="956" t="s">
        <v>240</v>
      </c>
      <c r="G10" s="797"/>
      <c r="H10"/>
      <c r="I10" s="783">
        <v>2</v>
      </c>
      <c r="J10" s="1047" t="s">
        <v>180</v>
      </c>
      <c r="K10" s="1047"/>
      <c r="L10" s="1049"/>
      <c r="M10" s="1049"/>
      <c r="N10"/>
      <c r="O10" s="794"/>
    </row>
    <row r="11" spans="2:15" ht="23.25" hidden="1" customHeight="1" x14ac:dyDescent="0.2">
      <c r="B11" s="301" t="s">
        <v>118</v>
      </c>
      <c r="C11" s="975">
        <f>+B147*$C$10+31</f>
        <v>103</v>
      </c>
      <c r="G11" s="793" t="s">
        <v>171</v>
      </c>
      <c r="H11" s="850">
        <f>+D2-H7</f>
        <v>688</v>
      </c>
      <c r="I11"/>
      <c r="J11" s="771" t="s">
        <v>163</v>
      </c>
      <c r="K11" s="761" t="s">
        <v>160</v>
      </c>
      <c r="L11" s="761" t="s">
        <v>161</v>
      </c>
      <c r="M11" s="924"/>
      <c r="N11"/>
      <c r="O11" s="794"/>
    </row>
    <row r="12" spans="2:15" ht="23.25" hidden="1" customHeight="1" thickBot="1" x14ac:dyDescent="0.25">
      <c r="B12" s="301" t="s">
        <v>119</v>
      </c>
      <c r="C12" s="299">
        <v>747</v>
      </c>
      <c r="D12" s="300"/>
      <c r="G12" s="797"/>
      <c r="H12" s="26"/>
      <c r="I12"/>
      <c r="J12" s="763">
        <f>(CB30)</f>
        <v>128.17982243840939</v>
      </c>
      <c r="K12" s="763">
        <f>((+H8-H11)/H8*CZ30)</f>
        <v>-91.564390635499336</v>
      </c>
      <c r="L12" s="763">
        <f>(H11/H8*CZ30)</f>
        <v>133.18456819708993</v>
      </c>
      <c r="M12" s="761" t="s">
        <v>168</v>
      </c>
      <c r="N12"/>
      <c r="O12" s="794"/>
    </row>
    <row r="13" spans="2:15" ht="23.25" hidden="1" customHeight="1" thickBot="1" x14ac:dyDescent="0.25">
      <c r="B13" s="955" t="s">
        <v>232</v>
      </c>
      <c r="C13" s="975">
        <v>29.3</v>
      </c>
      <c r="D13" s="956" t="s">
        <v>222</v>
      </c>
      <c r="G13" s="797"/>
      <c r="H13"/>
      <c r="I13"/>
      <c r="J13" s="764">
        <f>ABS($H$1/J12)</f>
        <v>140.42771832242963</v>
      </c>
      <c r="K13" s="764">
        <f>ABS($H$1/K12)</f>
        <v>196.58297155773823</v>
      </c>
      <c r="L13" s="764">
        <f>ABS($H$1/L12)</f>
        <v>135.15079294594506</v>
      </c>
      <c r="M13" s="766" t="s">
        <v>167</v>
      </c>
      <c r="N13"/>
      <c r="O13" s="794"/>
    </row>
    <row r="14" spans="2:15" ht="23.25" hidden="1" customHeight="1" thickBot="1" x14ac:dyDescent="0.25">
      <c r="B14" s="301" t="s">
        <v>258</v>
      </c>
      <c r="C14" s="975">
        <f>(+B170*C13)+2.5</f>
        <v>31.8</v>
      </c>
      <c r="D14" s="300"/>
      <c r="G14" s="797"/>
      <c r="H14"/>
      <c r="I14"/>
      <c r="J14" s="1045">
        <f>ABS($E$20/CB30)</f>
        <v>62.412319254413177</v>
      </c>
      <c r="K14" s="1045"/>
      <c r="L14" s="1045">
        <f>ABS($E$20/CZ30)</f>
        <v>192.21446107867743</v>
      </c>
      <c r="M14" s="1046" t="s">
        <v>308</v>
      </c>
      <c r="N14"/>
      <c r="O14" s="794"/>
    </row>
    <row r="15" spans="2:15" ht="23.25" hidden="1" customHeight="1" thickBot="1" x14ac:dyDescent="0.25">
      <c r="B15" s="301" t="s">
        <v>234</v>
      </c>
      <c r="C15" s="975">
        <v>492.38470000000001</v>
      </c>
      <c r="D15" s="956" t="s">
        <v>229</v>
      </c>
      <c r="G15" s="797"/>
      <c r="H15"/>
      <c r="I15"/>
      <c r="J15" s="43"/>
      <c r="K15" s="43"/>
      <c r="L15" s="43"/>
      <c r="M15" s="43"/>
      <c r="N15"/>
      <c r="O15" s="794"/>
    </row>
    <row r="16" spans="2:15" ht="23.25" hidden="1" customHeight="1" thickBot="1" x14ac:dyDescent="0.25">
      <c r="B16" s="302"/>
      <c r="C16" s="302"/>
      <c r="D16" s="300"/>
      <c r="G16" s="793" t="s">
        <v>176</v>
      </c>
      <c r="H16" s="850">
        <f>+D2+H7-BL180</f>
        <v>-48.496412713250265</v>
      </c>
      <c r="I16" s="783" t="s">
        <v>196</v>
      </c>
      <c r="J16" s="1047" t="s">
        <v>177</v>
      </c>
      <c r="K16" s="1054"/>
      <c r="L16" s="1054"/>
      <c r="M16" s="1054"/>
      <c r="N16"/>
      <c r="O16" s="794"/>
    </row>
    <row r="17" spans="2:108" ht="20" hidden="1" x14ac:dyDescent="0.2">
      <c r="B17" s="302"/>
      <c r="C17" s="302"/>
      <c r="D17" s="300"/>
      <c r="G17" s="797"/>
      <c r="H17" s="26"/>
      <c r="I17" s="798"/>
      <c r="J17" s="761" t="s">
        <v>162</v>
      </c>
      <c r="K17" s="761" t="s">
        <v>170</v>
      </c>
      <c r="L17" s="761"/>
      <c r="M17" s="924"/>
      <c r="N17"/>
      <c r="O17" s="794"/>
    </row>
    <row r="18" spans="2:108" ht="20" hidden="1" x14ac:dyDescent="0.2">
      <c r="B18" s="37" t="s">
        <v>66</v>
      </c>
      <c r="C18" s="187">
        <v>5800</v>
      </c>
      <c r="D18" s="187">
        <v>10000</v>
      </c>
      <c r="G18" s="797"/>
      <c r="H18"/>
      <c r="I18"/>
      <c r="J18" s="763">
        <f>+H16/H8*BQ25</f>
        <v>-38.300887807953004</v>
      </c>
      <c r="K18" s="763">
        <f>((H8-H16)/H8)*BQ25</f>
        <v>208.10088780795303</v>
      </c>
      <c r="L18" s="763"/>
      <c r="M18" s="761" t="s">
        <v>168</v>
      </c>
      <c r="N18"/>
      <c r="O18" s="794"/>
    </row>
    <row r="19" spans="2:108" ht="20" hidden="1" x14ac:dyDescent="0.2">
      <c r="B19" s="37" t="s">
        <v>67</v>
      </c>
      <c r="C19" s="187">
        <v>5800</v>
      </c>
      <c r="D19" s="187">
        <v>5800</v>
      </c>
      <c r="G19" s="797"/>
      <c r="H19"/>
      <c r="I19"/>
      <c r="J19" s="764">
        <f>ABS($H$1/J18)</f>
        <v>469.96299642595704</v>
      </c>
      <c r="K19" s="764">
        <f>ABS($H$1/K18)</f>
        <v>86.496507485404834</v>
      </c>
      <c r="L19" s="764"/>
      <c r="M19" s="766" t="s">
        <v>167</v>
      </c>
      <c r="N19"/>
      <c r="O19" s="794"/>
    </row>
    <row r="20" spans="2:108" ht="20" hidden="1" x14ac:dyDescent="0.2">
      <c r="B20" s="37" t="s">
        <v>75</v>
      </c>
      <c r="C20" s="187">
        <v>8000</v>
      </c>
      <c r="D20" s="187">
        <v>8000</v>
      </c>
      <c r="E20" s="38">
        <v>8000</v>
      </c>
      <c r="G20" s="797"/>
      <c r="H20"/>
      <c r="I20"/>
      <c r="J20" s="1045">
        <f>ABS($E$20/BQ25)</f>
        <v>47.114252061248521</v>
      </c>
      <c r="K20" s="1045"/>
      <c r="L20" s="1045"/>
      <c r="M20" s="1046" t="s">
        <v>308</v>
      </c>
      <c r="N20"/>
      <c r="O20" s="794"/>
    </row>
    <row r="21" spans="2:108" ht="19" hidden="1" thickBot="1" x14ac:dyDescent="0.25">
      <c r="B21" s="187"/>
      <c r="C21" s="187" t="s">
        <v>18</v>
      </c>
      <c r="D21" s="187" t="s">
        <v>19</v>
      </c>
      <c r="G21" s="797"/>
      <c r="H21"/>
      <c r="I21"/>
      <c r="J21" s="43"/>
      <c r="K21" s="43"/>
      <c r="L21" s="43"/>
      <c r="M21" s="43"/>
      <c r="N21"/>
      <c r="O21" s="794"/>
    </row>
    <row r="22" spans="2:108" ht="21" hidden="1" thickBot="1" x14ac:dyDescent="0.25">
      <c r="B22" s="303" t="s">
        <v>58</v>
      </c>
      <c r="C22" s="187">
        <f>+((C8-C9)/C8)*C7</f>
        <v>99.107167053578351</v>
      </c>
      <c r="D22" s="187">
        <f>+(C9/C8)*C7</f>
        <v>70.692832946421646</v>
      </c>
      <c r="G22" s="793" t="s">
        <v>164</v>
      </c>
      <c r="H22" s="850">
        <f>(+COS(($B$144*-1)*3.14159265358979/180)*(H4))</f>
        <v>860</v>
      </c>
      <c r="I22" s="783" t="s">
        <v>196</v>
      </c>
      <c r="J22" s="1047" t="s">
        <v>199</v>
      </c>
      <c r="K22" s="1054"/>
      <c r="L22" s="1054"/>
      <c r="M22" s="1054"/>
      <c r="N22"/>
      <c r="O22" s="794"/>
    </row>
    <row r="23" spans="2:108" ht="20" hidden="1" x14ac:dyDescent="0.2">
      <c r="G23" s="793" t="s">
        <v>179</v>
      </c>
      <c r="H23" s="864">
        <f>+BL180-H22+H7</f>
        <v>-123.50358728674973</v>
      </c>
      <c r="I23" s="798"/>
      <c r="J23" s="761"/>
      <c r="K23" s="761" t="s">
        <v>160</v>
      </c>
      <c r="L23" s="761" t="s">
        <v>161</v>
      </c>
      <c r="M23" s="924"/>
      <c r="N23"/>
      <c r="O23" s="794"/>
    </row>
    <row r="24" spans="2:108" ht="20" hidden="1" x14ac:dyDescent="0.2">
      <c r="E24" s="300"/>
      <c r="F24" s="300"/>
      <c r="G24" s="797"/>
      <c r="H24"/>
      <c r="I24"/>
      <c r="J24" s="763"/>
      <c r="K24" s="763">
        <f>((+H8-H23)/H8*BQ25)</f>
        <v>267.33911219204703</v>
      </c>
      <c r="L24" s="763">
        <f>(H23/H8*BQ25)</f>
        <v>-97.539112192047</v>
      </c>
      <c r="M24" s="761" t="s">
        <v>168</v>
      </c>
      <c r="N24"/>
      <c r="O24" s="794"/>
    </row>
    <row r="25" spans="2:108" ht="36" customHeight="1" thickBot="1" x14ac:dyDescent="0.25">
      <c r="E25" s="300"/>
      <c r="F25" s="300"/>
      <c r="G25" s="797"/>
      <c r="H25"/>
      <c r="I25"/>
      <c r="J25" s="764"/>
      <c r="K25" s="764">
        <f>ABS($H$1/K24)</f>
        <v>67.330215367325053</v>
      </c>
      <c r="L25" s="764">
        <f>ABS($H$1/L24)</f>
        <v>184.5413557236341</v>
      </c>
      <c r="M25" s="766" t="s">
        <v>167</v>
      </c>
      <c r="N25"/>
      <c r="O25" s="794"/>
      <c r="BE25" s="58"/>
      <c r="BF25" s="58"/>
      <c r="BG25" s="58"/>
      <c r="BH25" s="58"/>
      <c r="BO25" s="48"/>
      <c r="BP25" s="59" t="s">
        <v>23</v>
      </c>
      <c r="BQ25" s="1105">
        <f>+C7</f>
        <v>169.8</v>
      </c>
      <c r="BR25" s="1105"/>
      <c r="BS25" s="60" t="s">
        <v>15</v>
      </c>
      <c r="BT25" s="60"/>
      <c r="BU25" s="61" t="s">
        <v>300</v>
      </c>
      <c r="BV25" s="62"/>
      <c r="BW25" s="62"/>
      <c r="BX25" s="62"/>
      <c r="BY25" s="62"/>
      <c r="BZ25" s="62"/>
      <c r="CA25" s="62"/>
      <c r="CB25" s="62"/>
      <c r="CC25" s="62"/>
      <c r="CD25" s="62"/>
      <c r="CE25" s="62"/>
      <c r="CF25" s="62"/>
      <c r="CG25" s="62"/>
      <c r="CH25" s="62"/>
      <c r="CI25" s="62"/>
      <c r="CJ25" s="62"/>
      <c r="CK25" s="62"/>
      <c r="CL25" s="62"/>
      <c r="CM25" s="62"/>
      <c r="CN25" s="62"/>
      <c r="CO25" s="62"/>
      <c r="CP25" s="62"/>
      <c r="CQ25" s="62"/>
      <c r="CR25" s="62"/>
      <c r="CS25" s="62"/>
      <c r="CT25" s="62"/>
      <c r="CU25" s="62"/>
      <c r="CV25" s="62"/>
      <c r="CW25" s="62"/>
      <c r="CX25" s="62"/>
      <c r="CY25" s="62"/>
      <c r="CZ25" s="62"/>
      <c r="DA25" s="62"/>
      <c r="DB25" s="62"/>
      <c r="DC25" s="62"/>
      <c r="DD25" s="62"/>
    </row>
    <row r="26" spans="2:108" ht="40.5" customHeight="1" thickBot="1" x14ac:dyDescent="0.3">
      <c r="E26" s="300"/>
      <c r="F26" s="300"/>
      <c r="G26" s="797"/>
      <c r="H26"/>
      <c r="I26"/>
      <c r="J26" s="1045"/>
      <c r="K26" s="1045"/>
      <c r="L26" s="1045">
        <f>ABS($E$20/BQ25)</f>
        <v>47.114252061248521</v>
      </c>
      <c r="M26" s="1046" t="s">
        <v>308</v>
      </c>
      <c r="N26"/>
      <c r="O26" s="794"/>
      <c r="U26" s="97"/>
      <c r="AB26" s="97"/>
      <c r="AC26" s="97"/>
      <c r="AD26" s="97"/>
      <c r="AE26" s="97"/>
      <c r="BE26" s="68"/>
      <c r="BF26" s="68"/>
      <c r="BG26" s="68"/>
      <c r="BH26" s="68"/>
      <c r="BM26" s="65" t="b">
        <f>AND(BQ27&gt;0,CO27&gt;0)</f>
        <v>1</v>
      </c>
      <c r="BN26" s="752" t="str">
        <f>IF(BM26=TRUE,"","negative force at the motor")</f>
        <v/>
      </c>
      <c r="BO26" s="866" t="s">
        <v>112</v>
      </c>
      <c r="BP26" s="583" t="s">
        <v>25</v>
      </c>
      <c r="BQ26" s="619" t="s">
        <v>26</v>
      </c>
      <c r="BR26" s="620"/>
      <c r="BS26" s="620"/>
      <c r="BT26" s="620"/>
      <c r="BU26" s="620"/>
      <c r="BV26" s="620"/>
      <c r="BW26" s="620"/>
      <c r="BX26" s="620"/>
      <c r="BY26" s="620"/>
      <c r="BZ26" s="620"/>
      <c r="CA26" s="620"/>
      <c r="CB26" s="620"/>
      <c r="CC26" s="620"/>
      <c r="CD26" s="620"/>
      <c r="CE26" s="620"/>
      <c r="CF26" s="620"/>
      <c r="CG26" s="620"/>
      <c r="CH26" s="620"/>
      <c r="CI26" s="699"/>
      <c r="CJ26" s="620"/>
      <c r="CK26" s="700"/>
      <c r="CL26" s="700"/>
      <c r="CM26" s="700"/>
      <c r="CN26" s="700"/>
      <c r="CO26" s="620"/>
      <c r="CP26" s="625" t="s">
        <v>27</v>
      </c>
      <c r="CQ26" s="1092"/>
      <c r="CR26" s="1092"/>
      <c r="CS26" s="1092"/>
      <c r="CT26" s="1092"/>
      <c r="CU26" s="1092"/>
      <c r="CV26" s="1092"/>
      <c r="CW26" s="1092"/>
      <c r="CX26" s="1092"/>
      <c r="CY26" s="1092"/>
      <c r="CZ26" s="1092"/>
      <c r="DA26" s="1093"/>
      <c r="DB26" s="62"/>
      <c r="DC26" s="62"/>
      <c r="DD26" s="62"/>
    </row>
    <row r="27" spans="2:108" ht="41.25" customHeight="1" thickBot="1" x14ac:dyDescent="0.3">
      <c r="E27" s="300"/>
      <c r="F27" s="300"/>
      <c r="G27" s="797"/>
      <c r="H27"/>
      <c r="I27"/>
      <c r="J27" s="43"/>
      <c r="K27" s="43"/>
      <c r="L27" s="43"/>
      <c r="M27" s="43"/>
      <c r="N27"/>
      <c r="O27" s="794"/>
      <c r="BE27" s="68"/>
      <c r="BF27" s="68"/>
      <c r="BG27" s="68"/>
      <c r="BH27" s="68"/>
      <c r="BL27" s="767">
        <v>1</v>
      </c>
      <c r="BM27" s="1055" t="b">
        <f>AND(BO27&gt;=10,$AZ$150&gt;=10,$BA$150&gt;=10,$AZ$173&gt;=10,$BA$173&gt;=10)</f>
        <v>1</v>
      </c>
      <c r="BN27" s="67" t="str">
        <f>IF(BM27=TRUE,"O K","OVERLOAD")</f>
        <v>O K</v>
      </c>
      <c r="BO27" s="781">
        <f>+MIN(J7:L8)</f>
        <v>68.768591525457353</v>
      </c>
      <c r="BP27" s="584" t="s">
        <v>134</v>
      </c>
      <c r="BQ27" s="1100">
        <f>+((D4-D5)/D4)*C7</f>
        <v>53.467822438409407</v>
      </c>
      <c r="BR27" s="1101"/>
      <c r="BS27" s="626"/>
      <c r="BT27" s="626"/>
      <c r="BU27" s="626"/>
      <c r="BV27" s="627"/>
      <c r="BW27" s="627"/>
      <c r="BX27" s="627"/>
      <c r="BY27" s="701"/>
      <c r="BZ27" s="701"/>
      <c r="CA27" s="701"/>
      <c r="CB27" s="701"/>
      <c r="CC27" s="701"/>
      <c r="CD27" s="701"/>
      <c r="CE27" s="701"/>
      <c r="CF27" s="701"/>
      <c r="CG27" s="701"/>
      <c r="CH27" s="701"/>
      <c r="CI27" s="702"/>
      <c r="CJ27" s="626"/>
      <c r="CK27" s="626"/>
      <c r="CL27" s="626"/>
      <c r="CM27" s="627"/>
      <c r="CN27" s="627"/>
      <c r="CO27" s="1090">
        <f>+(D5/D4)*C7</f>
        <v>116.3321775615906</v>
      </c>
      <c r="CP27" s="1091"/>
      <c r="CQ27" s="1094"/>
      <c r="CR27" s="1094"/>
      <c r="CS27" s="1094"/>
      <c r="CT27" s="1094"/>
      <c r="CU27" s="1094"/>
      <c r="CV27" s="1094"/>
      <c r="CW27" s="1094"/>
      <c r="CX27" s="1094"/>
      <c r="CY27" s="1094"/>
      <c r="CZ27" s="1094"/>
      <c r="DA27" s="1095"/>
      <c r="DB27" s="62"/>
      <c r="DC27" s="62"/>
      <c r="DD27" s="62"/>
    </row>
    <row r="28" spans="2:108" ht="16.5" customHeight="1" thickBot="1" x14ac:dyDescent="0.3">
      <c r="E28" s="300"/>
      <c r="F28" s="300"/>
      <c r="G28" s="797"/>
      <c r="H28"/>
      <c r="I28" s="783">
        <v>60</v>
      </c>
      <c r="J28" s="1047" t="s">
        <v>186</v>
      </c>
      <c r="K28" s="1054"/>
      <c r="L28" s="1054"/>
      <c r="M28" s="1054"/>
      <c r="N28"/>
      <c r="O28" s="794"/>
      <c r="T28" s="304"/>
      <c r="BE28" s="68"/>
      <c r="BF28" s="68"/>
      <c r="BG28" s="68"/>
      <c r="BH28" s="68"/>
      <c r="BN28" s="69"/>
      <c r="BO28" s="68"/>
      <c r="BP28" s="70"/>
      <c r="BQ28" s="71"/>
      <c r="BR28" s="71"/>
      <c r="BS28" s="70"/>
      <c r="BT28" s="70"/>
      <c r="BU28" s="70"/>
      <c r="BV28" s="70"/>
      <c r="BW28" s="70"/>
      <c r="BX28" s="70"/>
      <c r="BY28" s="70"/>
      <c r="BZ28" s="70"/>
      <c r="CA28" s="70"/>
      <c r="CB28" s="70"/>
      <c r="CC28" s="70"/>
      <c r="CD28" s="70"/>
      <c r="CE28" s="70"/>
      <c r="CF28" s="70"/>
      <c r="CG28" s="70"/>
      <c r="CH28" s="70"/>
      <c r="CJ28" s="60"/>
      <c r="CK28" s="60"/>
      <c r="CL28" s="71"/>
      <c r="CM28" s="72"/>
      <c r="CN28" s="72"/>
      <c r="CO28" s="72"/>
      <c r="CP28" s="72"/>
      <c r="CQ28" s="72"/>
      <c r="CR28" s="72"/>
      <c r="CS28" s="72"/>
      <c r="CT28" s="72"/>
      <c r="CU28" s="72"/>
      <c r="CV28" s="72"/>
      <c r="CW28" s="72"/>
      <c r="CX28" s="72"/>
      <c r="CY28" s="72"/>
      <c r="CZ28" s="72"/>
      <c r="DA28" s="72"/>
      <c r="DB28" s="72"/>
      <c r="DC28" s="62"/>
      <c r="DD28" s="62"/>
    </row>
    <row r="29" spans="2:108" ht="40.5" customHeight="1" thickBot="1" x14ac:dyDescent="0.3">
      <c r="E29" s="300"/>
      <c r="F29" s="300"/>
      <c r="G29" s="797"/>
      <c r="H29"/>
      <c r="I29"/>
      <c r="J29" s="761"/>
      <c r="K29" s="761" t="s">
        <v>160</v>
      </c>
      <c r="L29" s="761" t="s">
        <v>161</v>
      </c>
      <c r="M29" s="924"/>
      <c r="N29"/>
      <c r="O29" s="794"/>
      <c r="U29" s="97"/>
      <c r="AB29" s="97"/>
      <c r="AC29" s="97"/>
      <c r="AD29" s="97"/>
      <c r="AE29" s="97"/>
      <c r="BE29" s="68"/>
      <c r="BF29" s="68"/>
      <c r="BG29" s="68"/>
      <c r="BH29" s="68"/>
      <c r="BM29" s="65" t="b">
        <f>AND(CB30&gt;0,CZ30&gt;0)</f>
        <v>1</v>
      </c>
      <c r="BN29" s="752" t="str">
        <f>IF(BM29=TRUE,"","negative force at the motor")</f>
        <v/>
      </c>
      <c r="BO29" s="866" t="s">
        <v>112</v>
      </c>
      <c r="BP29" s="585" t="s">
        <v>25</v>
      </c>
      <c r="BQ29" s="1119"/>
      <c r="BR29" s="1120"/>
      <c r="BS29" s="1120"/>
      <c r="BT29" s="1120"/>
      <c r="BU29" s="1120"/>
      <c r="BV29" s="1120"/>
      <c r="BW29" s="1120"/>
      <c r="BX29" s="1120"/>
      <c r="BY29" s="1120"/>
      <c r="BZ29" s="1120"/>
      <c r="CA29" s="1120"/>
      <c r="CB29" s="615" t="s">
        <v>26</v>
      </c>
      <c r="CC29" s="617"/>
      <c r="CD29" s="617"/>
      <c r="CE29" s="617"/>
      <c r="CF29" s="617"/>
      <c r="CG29" s="617"/>
      <c r="CH29" s="617"/>
      <c r="CI29" s="617"/>
      <c r="CJ29" s="617"/>
      <c r="CK29" s="617"/>
      <c r="CL29" s="617"/>
      <c r="CM29" s="617"/>
      <c r="CN29" s="703"/>
      <c r="CO29" s="608"/>
      <c r="CP29" s="608"/>
      <c r="CQ29" s="608"/>
      <c r="CR29" s="608"/>
      <c r="CS29" s="704"/>
      <c r="CT29" s="704"/>
      <c r="CU29" s="703"/>
      <c r="CV29" s="703"/>
      <c r="CW29" s="703"/>
      <c r="CX29" s="703"/>
      <c r="CY29" s="703"/>
      <c r="CZ29" s="608"/>
      <c r="DA29" s="609" t="s">
        <v>27</v>
      </c>
      <c r="DB29" s="73"/>
      <c r="DC29" s="62"/>
      <c r="DD29" s="62"/>
    </row>
    <row r="30" spans="2:108" ht="41.25" customHeight="1" thickBot="1" x14ac:dyDescent="0.3">
      <c r="E30" s="300"/>
      <c r="F30" s="300"/>
      <c r="G30" s="799"/>
      <c r="H30" s="47"/>
      <c r="I30"/>
      <c r="J30" s="763"/>
      <c r="K30" s="763">
        <f>((+H8-H23)/H8*BQ25)</f>
        <v>267.33911219204703</v>
      </c>
      <c r="L30" s="763">
        <f>(H23/H8*BQ25)</f>
        <v>-97.539112192047</v>
      </c>
      <c r="M30" s="761" t="s">
        <v>168</v>
      </c>
      <c r="N30"/>
      <c r="O30" s="794"/>
      <c r="U30" s="97"/>
      <c r="AB30" s="97"/>
      <c r="AC30" s="97"/>
      <c r="AD30" s="97"/>
      <c r="AE30" s="97"/>
      <c r="BL30" s="767">
        <v>2</v>
      </c>
      <c r="BM30" s="1055" t="b">
        <f>AND(BO30&gt;=10,$AZ$150&gt;=10,$BA$150&gt;=10,$AZ$173&gt;=10,$BA$173&gt;=10)</f>
        <v>1</v>
      </c>
      <c r="BN30" s="67" t="str">
        <f>IF(BM30=TRUE,"O K","OVERLOAD")</f>
        <v>O K</v>
      </c>
      <c r="BO30" s="781">
        <f>+MIN(J13:L14)</f>
        <v>62.412319254413177</v>
      </c>
      <c r="BP30" s="586" t="s">
        <v>111</v>
      </c>
      <c r="BQ30" s="1121"/>
      <c r="BR30" s="1122"/>
      <c r="BS30" s="1122"/>
      <c r="BT30" s="1122"/>
      <c r="BU30" s="1122"/>
      <c r="BV30" s="1122"/>
      <c r="BW30" s="1122"/>
      <c r="BX30" s="1122"/>
      <c r="BY30" s="1122"/>
      <c r="BZ30" s="1122"/>
      <c r="CA30" s="1122"/>
      <c r="CB30" s="1123">
        <f>+((D4-D3)/D4)*C7</f>
        <v>128.17982243840939</v>
      </c>
      <c r="CC30" s="1124"/>
      <c r="CD30" s="705"/>
      <c r="CE30" s="705"/>
      <c r="CF30" s="705"/>
      <c r="CG30" s="705"/>
      <c r="CH30" s="705"/>
      <c r="CI30" s="705"/>
      <c r="CJ30" s="705"/>
      <c r="CK30" s="705"/>
      <c r="CL30" s="705"/>
      <c r="CM30" s="705"/>
      <c r="CN30" s="706"/>
      <c r="CO30" s="707"/>
      <c r="CP30" s="707"/>
      <c r="CQ30" s="707"/>
      <c r="CR30" s="707"/>
      <c r="CS30" s="708"/>
      <c r="CT30" s="708"/>
      <c r="CU30" s="698"/>
      <c r="CV30" s="698"/>
      <c r="CW30" s="698"/>
      <c r="CX30" s="698"/>
      <c r="CY30" s="698"/>
      <c r="CZ30" s="1088">
        <f>+(D3/D4)*C7</f>
        <v>41.620177561590602</v>
      </c>
      <c r="DA30" s="1089"/>
      <c r="DB30" s="75"/>
      <c r="DC30" s="62"/>
      <c r="DD30" s="62"/>
    </row>
    <row r="31" spans="2:108" ht="15.75" customHeight="1" thickBot="1" x14ac:dyDescent="0.3">
      <c r="E31" s="300"/>
      <c r="F31" s="300"/>
      <c r="G31" s="799"/>
      <c r="H31" s="47"/>
      <c r="I31"/>
      <c r="J31" s="764"/>
      <c r="K31" s="764">
        <f>ABS($H$1/K30)</f>
        <v>67.330215367325053</v>
      </c>
      <c r="L31" s="764">
        <f>ABS($H$1/L30)</f>
        <v>184.5413557236341</v>
      </c>
      <c r="M31" s="766" t="s">
        <v>167</v>
      </c>
      <c r="N31"/>
      <c r="O31" s="794"/>
      <c r="U31" s="97"/>
      <c r="AB31" s="97"/>
      <c r="AC31" s="97"/>
      <c r="AD31" s="97"/>
      <c r="AE31" s="97"/>
      <c r="BN31" s="69"/>
      <c r="BO31" s="11"/>
      <c r="BP31" s="76"/>
      <c r="BQ31" s="76"/>
      <c r="BR31" s="76"/>
      <c r="BS31" s="76"/>
      <c r="BT31" s="76"/>
      <c r="BU31" s="76"/>
      <c r="BV31" s="76"/>
      <c r="BW31" s="76"/>
      <c r="BX31" s="76"/>
      <c r="BY31" s="77"/>
      <c r="BZ31" s="77"/>
      <c r="CA31" s="72"/>
      <c r="CB31" s="72"/>
      <c r="CC31" s="72"/>
      <c r="CD31" s="72"/>
      <c r="CE31" s="72"/>
      <c r="CF31" s="72"/>
      <c r="CG31" s="72"/>
      <c r="CH31" s="72"/>
      <c r="CI31" s="72"/>
      <c r="CJ31" s="72"/>
      <c r="CK31" s="72"/>
      <c r="CL31" s="72"/>
      <c r="CM31" s="72"/>
      <c r="CN31" s="26"/>
      <c r="CO31" s="78"/>
      <c r="CP31" s="78"/>
      <c r="CQ31" s="78"/>
      <c r="CR31" s="78"/>
      <c r="CS31" s="75"/>
      <c r="CT31" s="75"/>
      <c r="CU31" s="75"/>
      <c r="CV31" s="75"/>
      <c r="CW31" s="75"/>
      <c r="CX31" s="75"/>
      <c r="CY31" s="75"/>
      <c r="CZ31" s="75"/>
      <c r="DA31" s="75"/>
      <c r="DB31" s="75"/>
      <c r="DC31" s="62"/>
      <c r="DD31" s="62"/>
    </row>
    <row r="32" spans="2:108" ht="37.5" customHeight="1" thickBot="1" x14ac:dyDescent="0.25">
      <c r="E32" s="300"/>
      <c r="F32" s="300"/>
      <c r="G32" s="799"/>
      <c r="H32" s="47"/>
      <c r="I32"/>
      <c r="J32" s="1045"/>
      <c r="K32" s="1045"/>
      <c r="L32" s="1045">
        <f>ABS($E$20/BQ25)*2</f>
        <v>94.228504122497043</v>
      </c>
      <c r="M32" s="1046" t="s">
        <v>308</v>
      </c>
      <c r="N32" s="1052" t="s">
        <v>309</v>
      </c>
      <c r="O32" s="794"/>
      <c r="U32" s="97"/>
      <c r="AB32" s="97"/>
      <c r="AC32" s="97"/>
      <c r="AD32" s="97"/>
      <c r="AE32" s="97"/>
      <c r="BM32" s="65" t="b">
        <f>AND(CB33&gt;0,CQ33&gt;0)</f>
        <v>1</v>
      </c>
      <c r="BN32" s="752" t="str">
        <f>IF(BM32=TRUE,"","negative force at the motor")</f>
        <v/>
      </c>
      <c r="BO32" s="866" t="s">
        <v>112</v>
      </c>
      <c r="BP32" s="587" t="s">
        <v>25</v>
      </c>
      <c r="BQ32" s="1125"/>
      <c r="BR32" s="1126"/>
      <c r="BS32" s="1126"/>
      <c r="BT32" s="1126"/>
      <c r="BU32" s="1126"/>
      <c r="BV32" s="1126"/>
      <c r="BW32" s="1126"/>
      <c r="BX32" s="1126"/>
      <c r="BY32" s="1126"/>
      <c r="BZ32" s="1126"/>
      <c r="CA32" s="1126"/>
      <c r="CB32" s="709" t="s">
        <v>26</v>
      </c>
      <c r="CC32" s="710"/>
      <c r="CD32" s="710"/>
      <c r="CE32" s="710"/>
      <c r="CF32" s="710"/>
      <c r="CG32" s="710"/>
      <c r="CH32" s="710"/>
      <c r="CI32" s="711"/>
      <c r="CJ32" s="710"/>
      <c r="CK32" s="712"/>
      <c r="CL32" s="712"/>
      <c r="CM32" s="710"/>
      <c r="CN32" s="710"/>
      <c r="CO32" s="710"/>
      <c r="CP32" s="710"/>
      <c r="CQ32" s="710"/>
      <c r="CR32" s="713" t="s">
        <v>27</v>
      </c>
      <c r="CS32" s="1092"/>
      <c r="CT32" s="1092"/>
      <c r="CU32" s="1092"/>
      <c r="CV32" s="1092"/>
      <c r="CW32" s="1092"/>
      <c r="CX32" s="1092"/>
      <c r="CY32" s="1092"/>
      <c r="CZ32" s="1092"/>
      <c r="DA32" s="1093"/>
      <c r="DB32" s="72"/>
      <c r="DC32" s="62"/>
      <c r="DD32" s="62"/>
    </row>
    <row r="33" spans="5:141" ht="41.25" customHeight="1" thickBot="1" x14ac:dyDescent="0.3">
      <c r="E33" s="300"/>
      <c r="F33" s="300"/>
      <c r="G33" s="799"/>
      <c r="H33" s="47"/>
      <c r="I33"/>
      <c r="J33" s="43"/>
      <c r="K33" s="43"/>
      <c r="L33" s="43"/>
      <c r="M33" s="43"/>
      <c r="N33"/>
      <c r="O33" s="794"/>
      <c r="U33" s="97"/>
      <c r="AB33" s="97"/>
      <c r="AC33" s="97"/>
      <c r="AD33" s="97"/>
      <c r="AE33" s="97"/>
      <c r="BL33" s="767">
        <v>3</v>
      </c>
      <c r="BM33" s="1055" t="b">
        <f>AND(BO33&gt;=10,$AZ$150&gt;=10,$BA$150&gt;=10,$AZ$173&gt;=10,$BA$173&gt;=10)</f>
        <v>1</v>
      </c>
      <c r="BN33" s="67" t="str">
        <f>IF(BM33=TRUE,"O K","OVERLOAD")</f>
        <v>O K</v>
      </c>
      <c r="BO33" s="782">
        <f>+$E$20/(MAX(CB33,CQ33))</f>
        <v>76.358849227446228</v>
      </c>
      <c r="BP33" s="588" t="s">
        <v>108</v>
      </c>
      <c r="BQ33" s="1127"/>
      <c r="BR33" s="1128"/>
      <c r="BS33" s="1128"/>
      <c r="BT33" s="1128"/>
      <c r="BU33" s="1128"/>
      <c r="BV33" s="1128"/>
      <c r="BW33" s="1128"/>
      <c r="BX33" s="1128"/>
      <c r="BY33" s="1128"/>
      <c r="BZ33" s="1128"/>
      <c r="CA33" s="1128"/>
      <c r="CB33" s="1098">
        <f>+((D2-D3)/D2)*C7</f>
        <v>104.7684725600147</v>
      </c>
      <c r="CC33" s="1099"/>
      <c r="CD33" s="714"/>
      <c r="CE33" s="714"/>
      <c r="CF33" s="714"/>
      <c r="CG33" s="714"/>
      <c r="CH33" s="714"/>
      <c r="CI33" s="715"/>
      <c r="CJ33" s="714"/>
      <c r="CK33" s="716"/>
      <c r="CL33" s="716"/>
      <c r="CM33" s="717"/>
      <c r="CN33" s="717"/>
      <c r="CO33" s="717"/>
      <c r="CP33" s="717"/>
      <c r="CQ33" s="1086">
        <f>+(D3/D2)*C7</f>
        <v>65.031527439985325</v>
      </c>
      <c r="CR33" s="1087"/>
      <c r="CS33" s="1094"/>
      <c r="CT33" s="1094"/>
      <c r="CU33" s="1094"/>
      <c r="CV33" s="1094"/>
      <c r="CW33" s="1094"/>
      <c r="CX33" s="1094"/>
      <c r="CY33" s="1094"/>
      <c r="CZ33" s="1094"/>
      <c r="DA33" s="1095"/>
      <c r="DB33" s="72"/>
      <c r="DC33" s="62"/>
      <c r="DD33" s="62"/>
    </row>
    <row r="34" spans="5:141" ht="24" hidden="1" thickBot="1" x14ac:dyDescent="0.3">
      <c r="G34" s="799"/>
      <c r="H34" s="47"/>
      <c r="I34" s="783">
        <v>61</v>
      </c>
      <c r="J34" s="1047" t="s">
        <v>200</v>
      </c>
      <c r="K34" s="1054"/>
      <c r="L34" s="1054"/>
      <c r="M34" s="1054"/>
      <c r="N34"/>
      <c r="O34" s="794"/>
      <c r="BN34" s="69"/>
      <c r="BO34" s="11"/>
      <c r="BP34" s="76"/>
      <c r="BQ34" s="76"/>
      <c r="BR34" s="76"/>
      <c r="BS34" s="76"/>
      <c r="BT34" s="76"/>
      <c r="BU34" s="76"/>
      <c r="BV34" s="76"/>
      <c r="BW34" s="76"/>
      <c r="BX34" s="76"/>
      <c r="BY34" s="77"/>
      <c r="BZ34" s="77"/>
      <c r="CA34" s="72"/>
      <c r="CB34" s="72"/>
      <c r="CC34" s="72"/>
      <c r="CD34" s="72"/>
      <c r="CE34" s="72"/>
      <c r="CF34" s="72"/>
      <c r="CG34" s="72"/>
      <c r="CH34" s="72"/>
      <c r="CI34" s="72"/>
      <c r="CJ34" s="72"/>
      <c r="CK34" s="76"/>
      <c r="CL34" s="72"/>
      <c r="CM34" s="72"/>
      <c r="CN34" s="26"/>
      <c r="CO34" s="78"/>
      <c r="CP34" s="78"/>
      <c r="CQ34" s="78"/>
      <c r="CR34" s="78"/>
      <c r="CS34" s="75"/>
      <c r="CT34" s="75"/>
      <c r="CU34" s="75"/>
      <c r="CV34" s="75"/>
      <c r="CW34" s="75"/>
      <c r="CX34" s="75"/>
      <c r="CY34" s="75"/>
      <c r="CZ34" s="75"/>
      <c r="DA34" s="75"/>
      <c r="DB34" s="75"/>
      <c r="DC34" s="62"/>
      <c r="DD34" s="62"/>
    </row>
    <row r="35" spans="5:141" ht="20" hidden="1" x14ac:dyDescent="0.2">
      <c r="G35" s="799"/>
      <c r="H35" s="47"/>
      <c r="I35"/>
      <c r="J35" s="761" t="s">
        <v>162</v>
      </c>
      <c r="K35" s="761" t="s">
        <v>170</v>
      </c>
      <c r="L35" s="761"/>
      <c r="M35" s="924"/>
      <c r="N35"/>
      <c r="O35" s="794"/>
      <c r="BN35" s="69"/>
      <c r="EJ35" s="62"/>
      <c r="EK35" s="62"/>
    </row>
    <row r="36" spans="5:141" ht="20" hidden="1" x14ac:dyDescent="0.2">
      <c r="G36" s="799"/>
      <c r="H36" s="47"/>
      <c r="I36"/>
      <c r="J36" s="763">
        <f>+H16/H8*BQ25</f>
        <v>-38.300887807953004</v>
      </c>
      <c r="K36" s="763">
        <f>((H8-H16)/H8)*BQ25</f>
        <v>208.10088780795303</v>
      </c>
      <c r="L36" s="763"/>
      <c r="M36" s="761" t="s">
        <v>168</v>
      </c>
      <c r="N36"/>
      <c r="O36" s="794"/>
      <c r="BN36" s="69"/>
      <c r="EJ36" s="62"/>
      <c r="EK36" s="62"/>
    </row>
    <row r="37" spans="5:141" ht="23" hidden="1" x14ac:dyDescent="0.25">
      <c r="G37" s="799"/>
      <c r="H37" s="47"/>
      <c r="I37"/>
      <c r="J37" s="764">
        <f>ABS($H$1/J36)</f>
        <v>469.96299642595704</v>
      </c>
      <c r="K37" s="764">
        <f>ABS($H$1/K36)</f>
        <v>86.496507485404834</v>
      </c>
      <c r="L37" s="764"/>
      <c r="M37" s="766" t="s">
        <v>167</v>
      </c>
      <c r="N37"/>
      <c r="O37" s="794"/>
      <c r="BN37" s="69"/>
      <c r="BO37" s="10"/>
      <c r="BP37" s="160"/>
      <c r="BQ37" s="161"/>
      <c r="BR37" s="161"/>
      <c r="BS37" s="161"/>
      <c r="BT37" s="161"/>
      <c r="BU37" s="161"/>
      <c r="BV37" s="161"/>
      <c r="BW37" s="161"/>
      <c r="BX37" s="161"/>
      <c r="BY37" s="162"/>
      <c r="BZ37" s="162"/>
      <c r="CA37" s="163"/>
      <c r="CB37" s="163"/>
      <c r="CC37" s="163"/>
      <c r="CD37" s="163"/>
      <c r="CE37" s="163"/>
      <c r="CF37" s="163"/>
      <c r="CG37" s="163"/>
      <c r="CH37" s="163"/>
      <c r="CI37" s="26"/>
      <c r="CJ37" s="72"/>
      <c r="CK37" s="164"/>
      <c r="CL37" s="164"/>
      <c r="CM37" s="72"/>
      <c r="CN37" s="72"/>
      <c r="CO37" s="72"/>
      <c r="CP37" s="72"/>
      <c r="CQ37" s="72"/>
      <c r="CR37" s="72"/>
      <c r="CS37" s="72"/>
      <c r="CT37" s="72"/>
      <c r="CU37" s="72"/>
      <c r="CV37" s="72"/>
      <c r="CW37" s="161"/>
      <c r="CX37" s="161"/>
      <c r="CY37" s="161"/>
      <c r="CZ37" s="161"/>
      <c r="DA37" s="161"/>
      <c r="DB37" s="161"/>
      <c r="DC37" s="161"/>
      <c r="DD37" s="161"/>
      <c r="EJ37" s="62"/>
      <c r="EK37" s="62"/>
    </row>
    <row r="38" spans="5:141" ht="24" hidden="1" thickBot="1" x14ac:dyDescent="0.3">
      <c r="G38" s="799"/>
      <c r="H38" s="47"/>
      <c r="I38"/>
      <c r="J38" s="1045">
        <f>ABS($E$20/BQ25)*2</f>
        <v>94.228504122497043</v>
      </c>
      <c r="K38" s="1045"/>
      <c r="L38" s="1045"/>
      <c r="M38" s="1046" t="s">
        <v>308</v>
      </c>
      <c r="N38" s="1052" t="s">
        <v>309</v>
      </c>
      <c r="O38" s="794"/>
      <c r="BN38" s="69"/>
      <c r="BO38" s="10"/>
      <c r="BP38" s="160"/>
      <c r="BQ38" s="161"/>
      <c r="BR38" s="161"/>
      <c r="BS38" s="161"/>
      <c r="BT38" s="161"/>
      <c r="BU38" s="161"/>
      <c r="BV38" s="161"/>
      <c r="BW38" s="161"/>
      <c r="BX38" s="161"/>
      <c r="BY38" s="162"/>
      <c r="BZ38" s="162"/>
      <c r="CA38" s="163"/>
      <c r="CB38" s="163"/>
      <c r="CC38" s="163"/>
      <c r="CD38" s="163"/>
      <c r="CE38" s="163"/>
      <c r="CF38" s="163"/>
      <c r="CG38" s="163"/>
      <c r="CH38" s="163"/>
      <c r="CI38" s="26"/>
      <c r="CJ38" s="72"/>
      <c r="CK38" s="164"/>
      <c r="CL38" s="164"/>
      <c r="CM38" s="72"/>
      <c r="CN38" s="72"/>
      <c r="CO38" s="72"/>
      <c r="CP38" s="72"/>
      <c r="CQ38" s="72"/>
      <c r="CR38" s="72"/>
      <c r="CS38" s="72"/>
      <c r="CT38" s="72"/>
      <c r="CU38" s="72"/>
      <c r="CV38" s="72"/>
      <c r="CW38" s="161"/>
      <c r="CX38" s="161"/>
      <c r="CY38" s="161"/>
      <c r="CZ38" s="161"/>
      <c r="DA38" s="161"/>
      <c r="DB38" s="161"/>
      <c r="DC38" s="161"/>
      <c r="DD38" s="161"/>
      <c r="EJ38" s="62"/>
      <c r="EK38" s="62"/>
    </row>
    <row r="39" spans="5:141" ht="24" hidden="1" thickBot="1" x14ac:dyDescent="0.3">
      <c r="G39" s="797"/>
      <c r="H39"/>
      <c r="I39"/>
      <c r="J39" s="43"/>
      <c r="K39" s="43"/>
      <c r="L39" s="43"/>
      <c r="M39" s="43"/>
      <c r="N39"/>
      <c r="O39" s="794"/>
      <c r="BN39" s="69"/>
      <c r="BO39" s="10"/>
      <c r="BP39" s="160"/>
      <c r="BQ39" s="161"/>
      <c r="BR39" s="161"/>
      <c r="BS39" s="161"/>
      <c r="BT39" s="161"/>
      <c r="BU39" s="161"/>
      <c r="BV39" s="161"/>
      <c r="BW39" s="161"/>
      <c r="BX39" s="161"/>
      <c r="BY39" s="162"/>
      <c r="BZ39" s="162"/>
      <c r="CA39" s="165">
        <v>16</v>
      </c>
      <c r="CB39" s="163"/>
      <c r="CC39" s="163"/>
      <c r="CD39" s="163"/>
      <c r="CE39" s="163"/>
      <c r="CF39" s="163"/>
      <c r="CG39" s="163"/>
      <c r="CH39" s="163"/>
      <c r="CI39" s="26"/>
      <c r="CJ39" s="72"/>
      <c r="CK39" s="164"/>
      <c r="CL39" s="164"/>
      <c r="CM39" s="72"/>
      <c r="CN39" s="72"/>
      <c r="CO39" s="72"/>
      <c r="CP39" s="100" t="b">
        <f>IF(CQ57=27,15)</f>
        <v>0</v>
      </c>
      <c r="CQ39" s="166"/>
      <c r="CR39" s="86" t="b">
        <f>IF(CQ57=27,17)</f>
        <v>0</v>
      </c>
      <c r="CS39" s="72"/>
      <c r="CT39" s="72"/>
      <c r="CU39" s="72"/>
      <c r="CV39" s="72"/>
      <c r="CW39" s="161"/>
      <c r="CX39" s="161"/>
      <c r="CY39" s="161"/>
      <c r="CZ39" s="161"/>
      <c r="DA39" s="161"/>
      <c r="DB39" s="161"/>
      <c r="DC39" s="161"/>
      <c r="DD39" s="161"/>
      <c r="EJ39" s="62"/>
      <c r="EK39" s="62"/>
    </row>
    <row r="40" spans="5:141" ht="24" hidden="1" thickBot="1" x14ac:dyDescent="0.3">
      <c r="G40" s="797"/>
      <c r="H40" s="841" t="s">
        <v>207</v>
      </c>
      <c r="I40" s="783">
        <v>62</v>
      </c>
      <c r="J40" s="1047" t="s">
        <v>201</v>
      </c>
      <c r="K40" s="1054"/>
      <c r="L40" s="1054"/>
      <c r="M40" s="1054"/>
      <c r="N40"/>
      <c r="O40" s="794"/>
      <c r="BN40" s="69"/>
      <c r="BO40" s="10"/>
      <c r="BP40" s="160"/>
      <c r="BQ40" s="161"/>
      <c r="BR40" s="161"/>
      <c r="BS40" s="161"/>
      <c r="BT40" s="161"/>
      <c r="BU40" s="161"/>
      <c r="BV40" s="161"/>
      <c r="BW40" s="161"/>
      <c r="BX40" s="161"/>
      <c r="BY40" s="162"/>
      <c r="BZ40" s="162"/>
      <c r="CA40" s="165">
        <v>15</v>
      </c>
      <c r="CB40" s="163"/>
      <c r="CC40" s="163"/>
      <c r="CD40" s="163"/>
      <c r="CE40" s="163"/>
      <c r="CF40" s="163"/>
      <c r="CG40" s="163"/>
      <c r="CH40" s="163"/>
      <c r="CI40" s="26"/>
      <c r="CJ40" s="72"/>
      <c r="CK40" s="164"/>
      <c r="CL40" s="164"/>
      <c r="CM40" s="72"/>
      <c r="CN40" s="100" t="b">
        <f>IF(CP57=26,13)</f>
        <v>0</v>
      </c>
      <c r="CO40" s="166"/>
      <c r="CP40" s="166"/>
      <c r="CQ40" s="166"/>
      <c r="CR40" s="86" t="b">
        <f>IF(CP57=26,17)</f>
        <v>0</v>
      </c>
      <c r="CS40" s="72"/>
      <c r="CT40" s="72"/>
      <c r="CU40" s="72"/>
      <c r="CV40" s="72"/>
      <c r="CW40" s="161"/>
      <c r="CX40" s="161"/>
      <c r="CY40" s="161"/>
      <c r="CZ40" s="161"/>
      <c r="DA40" s="161"/>
      <c r="DB40" s="161"/>
      <c r="DC40" s="161"/>
      <c r="DD40" s="161"/>
      <c r="EJ40" s="62"/>
      <c r="EK40" s="62"/>
    </row>
    <row r="41" spans="5:141" ht="24" hidden="1" thickBot="1" x14ac:dyDescent="0.3">
      <c r="G41" s="797"/>
      <c r="H41" s="800" t="s">
        <v>195</v>
      </c>
      <c r="I41"/>
      <c r="J41" s="761" t="s">
        <v>162</v>
      </c>
      <c r="K41" s="761" t="s">
        <v>170</v>
      </c>
      <c r="L41" s="771" t="s">
        <v>187</v>
      </c>
      <c r="M41" s="924"/>
      <c r="N41"/>
      <c r="O41" s="794"/>
      <c r="BN41" s="69"/>
      <c r="BO41" s="10"/>
      <c r="BP41" s="160"/>
      <c r="BQ41" s="161"/>
      <c r="BR41" s="161"/>
      <c r="BS41" s="161"/>
      <c r="BT41" s="161"/>
      <c r="BU41" s="161"/>
      <c r="BV41" s="161"/>
      <c r="BW41" s="161"/>
      <c r="BX41" s="161"/>
      <c r="BY41" s="162"/>
      <c r="BZ41" s="162"/>
      <c r="CA41" s="165">
        <v>14</v>
      </c>
      <c r="CB41" s="163"/>
      <c r="CC41" s="163"/>
      <c r="CD41" s="163"/>
      <c r="CE41" s="163"/>
      <c r="CF41" s="163"/>
      <c r="CG41" s="163"/>
      <c r="CH41" s="163"/>
      <c r="CI41" s="26"/>
      <c r="CJ41" s="72"/>
      <c r="CK41" s="164"/>
      <c r="CL41" s="100" t="b">
        <f>IF(CO57=25,11)</f>
        <v>0</v>
      </c>
      <c r="CM41" s="166"/>
      <c r="CN41" s="167"/>
      <c r="CO41" s="167"/>
      <c r="CP41" s="167"/>
      <c r="CQ41" s="167"/>
      <c r="CR41" s="107" t="b">
        <f>IF(CO57=25,17)</f>
        <v>0</v>
      </c>
      <c r="CS41" s="72"/>
      <c r="CT41" s="72"/>
      <c r="CU41" s="72"/>
      <c r="CV41" s="72"/>
      <c r="CW41" s="161"/>
      <c r="CX41" s="161"/>
      <c r="CY41" s="161"/>
      <c r="CZ41" s="161"/>
      <c r="DA41" s="161"/>
      <c r="DB41" s="161"/>
      <c r="DC41" s="161"/>
      <c r="DD41" s="161"/>
      <c r="EJ41" s="62"/>
      <c r="EK41" s="62"/>
    </row>
    <row r="42" spans="5:141" ht="24" hidden="1" thickBot="1" x14ac:dyDescent="0.3">
      <c r="G42" s="801" t="s">
        <v>190</v>
      </c>
      <c r="H42" s="851">
        <f>SUM(BQ138:CA138)</f>
        <v>10</v>
      </c>
      <c r="I42"/>
      <c r="J42" s="763">
        <f>+H43/H8*BQ25/2</f>
        <v>118.86</v>
      </c>
      <c r="K42" s="763">
        <f>((H8-H43)/H8)*BQ25/2</f>
        <v>-33.96</v>
      </c>
      <c r="L42" s="763">
        <f>+BQ25/2</f>
        <v>84.9</v>
      </c>
      <c r="M42" s="761" t="s">
        <v>168</v>
      </c>
      <c r="N42"/>
      <c r="O42" s="794"/>
      <c r="BN42" s="69"/>
      <c r="BO42" s="863"/>
      <c r="BP42" s="160"/>
      <c r="BQ42" s="161"/>
      <c r="BR42" s="161"/>
      <c r="BS42" s="161"/>
      <c r="BT42" s="161"/>
      <c r="BU42" s="161"/>
      <c r="BV42" s="161"/>
      <c r="BW42" s="161"/>
      <c r="BX42" s="161"/>
      <c r="CA42" s="165">
        <v>13</v>
      </c>
      <c r="CB42" s="161"/>
      <c r="CC42" s="160"/>
      <c r="CD42" s="160"/>
      <c r="CE42" s="160"/>
      <c r="CF42" s="160"/>
      <c r="CG42" s="160"/>
      <c r="CH42" s="160"/>
      <c r="CI42" s="160"/>
      <c r="CJ42" s="100" t="b">
        <f>IF(CN57=24,9)</f>
        <v>0</v>
      </c>
      <c r="CK42" s="168"/>
      <c r="CL42" s="169"/>
      <c r="CM42" s="105"/>
      <c r="CN42" s="169"/>
      <c r="CO42" s="105"/>
      <c r="CP42" s="105"/>
      <c r="CQ42" s="104"/>
      <c r="CR42" s="107" t="b">
        <f>IF(CN57=24,17)</f>
        <v>0</v>
      </c>
      <c r="CS42" s="62"/>
      <c r="CT42" s="62"/>
      <c r="CU42" s="62"/>
      <c r="CV42" s="62"/>
      <c r="CW42" s="62"/>
      <c r="CX42" s="62"/>
      <c r="CY42" s="62"/>
      <c r="CZ42" s="62"/>
      <c r="DA42" s="62"/>
      <c r="DB42" s="62"/>
      <c r="DC42" s="62"/>
      <c r="DD42" s="62"/>
      <c r="EJ42" s="62"/>
      <c r="EK42" s="62"/>
    </row>
    <row r="43" spans="5:141" ht="21" hidden="1" thickBot="1" x14ac:dyDescent="0.25">
      <c r="G43" s="793" t="s">
        <v>188</v>
      </c>
      <c r="H43" s="850">
        <f>$H$5-((H42-1)*$E$2)</f>
        <v>301</v>
      </c>
      <c r="I43"/>
      <c r="J43" s="764">
        <f>ABS($H$1/J42)</f>
        <v>151.4386673397274</v>
      </c>
      <c r="K43" s="764">
        <f>ABS($H$1/K42)</f>
        <v>530.03533568904595</v>
      </c>
      <c r="L43" s="764">
        <f>ABS($H$1/L42)</f>
        <v>212.01413427561835</v>
      </c>
      <c r="M43" s="766" t="s">
        <v>167</v>
      </c>
      <c r="N43"/>
      <c r="O43" s="794"/>
      <c r="BN43" s="69"/>
      <c r="BO43" s="863"/>
      <c r="BP43" s="160"/>
      <c r="BQ43" s="160"/>
      <c r="BR43" s="161"/>
      <c r="BS43" s="160"/>
      <c r="BT43" s="160"/>
      <c r="BU43" s="160"/>
      <c r="CA43" s="165">
        <v>12</v>
      </c>
      <c r="CB43" s="161"/>
      <c r="CC43" s="160"/>
      <c r="CD43" s="160"/>
      <c r="CE43" s="160"/>
      <c r="CF43" s="160"/>
      <c r="CG43" s="160"/>
      <c r="CH43" s="100" t="b">
        <f>IF(CM57=23,7)</f>
        <v>0</v>
      </c>
      <c r="CI43" s="168"/>
      <c r="CJ43" s="168"/>
      <c r="CK43" s="101"/>
      <c r="CL43" s="168"/>
      <c r="CM43" s="168"/>
      <c r="CN43" s="168"/>
      <c r="CO43" s="101"/>
      <c r="CP43" s="101"/>
      <c r="CQ43" s="94"/>
      <c r="CR43" s="86" t="b">
        <f>IF(CM57=23,17)</f>
        <v>0</v>
      </c>
      <c r="CS43" s="62"/>
      <c r="CT43" s="62"/>
      <c r="CU43" s="62"/>
      <c r="CV43" s="62"/>
      <c r="CW43" s="62"/>
      <c r="CX43" s="62"/>
      <c r="CY43" s="62"/>
      <c r="CZ43" s="62"/>
      <c r="DA43" s="62"/>
      <c r="DB43" s="62"/>
      <c r="DC43" s="62"/>
      <c r="DD43" s="62"/>
      <c r="EJ43" s="62"/>
      <c r="EK43" s="62"/>
    </row>
    <row r="44" spans="5:141" ht="21" hidden="1" thickBot="1" x14ac:dyDescent="0.25">
      <c r="G44" s="799"/>
      <c r="H44" s="47"/>
      <c r="I44"/>
      <c r="J44" s="1045"/>
      <c r="K44" s="1045"/>
      <c r="L44" s="1045">
        <f>ABS($E$20/BQ25)*2</f>
        <v>94.228504122497043</v>
      </c>
      <c r="M44" s="1046" t="s">
        <v>308</v>
      </c>
      <c r="N44" s="1052" t="s">
        <v>309</v>
      </c>
      <c r="O44" s="794"/>
      <c r="BN44" s="69"/>
      <c r="BO44" s="863"/>
      <c r="BP44" s="160"/>
      <c r="BQ44" s="160"/>
      <c r="BR44" s="161"/>
      <c r="BS44" s="160"/>
      <c r="BT44" s="160"/>
      <c r="BU44" s="160"/>
      <c r="CA44" s="165">
        <v>11</v>
      </c>
      <c r="CB44" s="161"/>
      <c r="CC44" s="160"/>
      <c r="CD44" s="160"/>
      <c r="CE44" s="160"/>
      <c r="CF44" s="100" t="b">
        <f>IF(CL57=22,5)</f>
        <v>0</v>
      </c>
      <c r="CG44" s="168"/>
      <c r="CH44" s="168"/>
      <c r="CI44" s="101"/>
      <c r="CJ44" s="168"/>
      <c r="CK44" s="101"/>
      <c r="CL44" s="168"/>
      <c r="CM44" s="101"/>
      <c r="CN44" s="168"/>
      <c r="CO44" s="101"/>
      <c r="CP44" s="101"/>
      <c r="CQ44" s="94"/>
      <c r="CR44" s="86" t="b">
        <f>IF(CL57=22,17)</f>
        <v>0</v>
      </c>
      <c r="CS44" s="62"/>
      <c r="CT44" s="62"/>
      <c r="CU44" s="62"/>
      <c r="CV44" s="62"/>
      <c r="CW44" s="62"/>
      <c r="CX44" s="62"/>
      <c r="CY44" s="62"/>
      <c r="CZ44" s="62"/>
      <c r="DA44" s="62"/>
      <c r="DB44" s="62"/>
      <c r="DC44" s="62"/>
      <c r="DD44" s="62"/>
      <c r="EJ44" s="62"/>
      <c r="EK44" s="62"/>
    </row>
    <row r="45" spans="5:141" ht="21" hidden="1" thickBot="1" x14ac:dyDescent="0.25">
      <c r="G45" s="797"/>
      <c r="H45" s="842" t="s">
        <v>208</v>
      </c>
      <c r="I45"/>
      <c r="J45" s="43"/>
      <c r="K45" s="43"/>
      <c r="L45" s="43"/>
      <c r="M45" s="43"/>
      <c r="N45"/>
      <c r="O45" s="794"/>
      <c r="BN45" s="69"/>
      <c r="BO45" s="863"/>
      <c r="BP45" s="160"/>
      <c r="BQ45" s="160"/>
      <c r="BR45" s="161"/>
      <c r="BS45" s="160"/>
      <c r="BT45" s="160"/>
      <c r="BU45" s="160"/>
      <c r="CA45" s="165">
        <v>10</v>
      </c>
      <c r="CB45" s="161"/>
      <c r="CC45" s="160"/>
      <c r="CD45" s="100" t="b">
        <f>IF(CK57=21,3)</f>
        <v>0</v>
      </c>
      <c r="CE45" s="168"/>
      <c r="CF45" s="168"/>
      <c r="CG45" s="101"/>
      <c r="CH45" s="101"/>
      <c r="CI45" s="101"/>
      <c r="CJ45" s="168"/>
      <c r="CK45" s="168"/>
      <c r="CL45" s="168"/>
      <c r="CM45" s="101"/>
      <c r="CN45" s="168"/>
      <c r="CO45" s="101"/>
      <c r="CP45" s="101"/>
      <c r="CQ45" s="94"/>
      <c r="CR45" s="86" t="b">
        <f>IF(CK57=21,17)</f>
        <v>0</v>
      </c>
      <c r="CS45" s="62"/>
      <c r="CT45" s="62"/>
      <c r="CU45" s="62"/>
      <c r="CV45" s="62"/>
      <c r="CW45" s="62"/>
      <c r="CX45" s="62"/>
      <c r="CY45" s="62"/>
      <c r="CZ45" s="62"/>
      <c r="DA45" s="62"/>
      <c r="DB45" s="62"/>
      <c r="DC45" s="62"/>
      <c r="DD45" s="62"/>
      <c r="EJ45" s="62"/>
      <c r="EK45" s="62"/>
    </row>
    <row r="46" spans="5:141" ht="21" hidden="1" thickBot="1" x14ac:dyDescent="0.25">
      <c r="G46" s="803"/>
      <c r="H46" s="804" t="s">
        <v>195</v>
      </c>
      <c r="I46" s="783">
        <v>63</v>
      </c>
      <c r="J46" s="1047" t="s">
        <v>202</v>
      </c>
      <c r="K46" s="1054"/>
      <c r="L46" s="1054"/>
      <c r="M46" s="1054"/>
      <c r="N46"/>
      <c r="O46" s="794"/>
      <c r="BN46" s="69"/>
      <c r="BO46" s="863"/>
      <c r="BP46" s="160"/>
      <c r="BQ46" s="160"/>
      <c r="BR46" s="161"/>
      <c r="BS46" s="160"/>
      <c r="BT46" s="160"/>
      <c r="BU46" s="160"/>
      <c r="CA46" s="165">
        <v>9</v>
      </c>
      <c r="CB46" s="100" t="b">
        <f>IF(CJ57=20,1)</f>
        <v>0</v>
      </c>
      <c r="CC46" s="168"/>
      <c r="CD46" s="168"/>
      <c r="CE46" s="101"/>
      <c r="CF46" s="168"/>
      <c r="CG46" s="168"/>
      <c r="CH46" s="168"/>
      <c r="CI46" s="168"/>
      <c r="CJ46" s="168"/>
      <c r="CK46" s="168"/>
      <c r="CL46" s="168"/>
      <c r="CM46" s="168"/>
      <c r="CN46" s="168"/>
      <c r="CO46" s="101"/>
      <c r="CP46" s="101"/>
      <c r="CQ46" s="94"/>
      <c r="CR46" s="86" t="b">
        <f>IF(CJ57=20,17)</f>
        <v>0</v>
      </c>
      <c r="CS46" s="62"/>
      <c r="CT46" s="62"/>
      <c r="CU46" s="62"/>
      <c r="CV46" s="62"/>
      <c r="CW46" s="62"/>
      <c r="CX46" s="62"/>
      <c r="CY46" s="62"/>
      <c r="CZ46" s="62"/>
      <c r="DA46" s="62"/>
      <c r="DB46" s="62"/>
      <c r="DC46" s="62"/>
      <c r="DD46" s="62"/>
      <c r="EJ46" s="62"/>
      <c r="EK46" s="62"/>
    </row>
    <row r="47" spans="5:141" ht="24" hidden="1" thickBot="1" x14ac:dyDescent="0.3">
      <c r="G47" s="801" t="s">
        <v>190</v>
      </c>
      <c r="H47" s="852">
        <f>SUM(CQ138:DA138)</f>
        <v>0</v>
      </c>
      <c r="I47"/>
      <c r="J47" s="771" t="s">
        <v>189</v>
      </c>
      <c r="K47" s="761" t="s">
        <v>160</v>
      </c>
      <c r="L47" s="761" t="s">
        <v>161</v>
      </c>
      <c r="M47" s="924"/>
      <c r="N47"/>
      <c r="O47" s="794"/>
      <c r="BN47" s="69"/>
      <c r="BO47" s="863"/>
      <c r="BP47" s="160"/>
      <c r="BQ47" s="160"/>
      <c r="BR47" s="161"/>
      <c r="BS47" s="160"/>
      <c r="BT47" s="160"/>
      <c r="BU47" s="160"/>
      <c r="CA47" s="165">
        <v>8</v>
      </c>
      <c r="CB47" s="103" t="b">
        <f>IF(CI57=19,1)</f>
        <v>0</v>
      </c>
      <c r="CC47" s="105"/>
      <c r="CD47" s="169"/>
      <c r="CE47" s="169"/>
      <c r="CF47" s="169"/>
      <c r="CG47" s="169"/>
      <c r="CH47" s="169"/>
      <c r="CI47" s="169"/>
      <c r="CJ47" s="169"/>
      <c r="CK47" s="169"/>
      <c r="CL47" s="169"/>
      <c r="CM47" s="169"/>
      <c r="CN47" s="169"/>
      <c r="CO47" s="105"/>
      <c r="CP47" s="107" t="b">
        <f>IF(CI57=19,15)</f>
        <v>0</v>
      </c>
      <c r="CQ47" s="62"/>
      <c r="CR47" s="62"/>
      <c r="CS47" s="62"/>
      <c r="CT47" s="62"/>
      <c r="CU47" s="62"/>
      <c r="CV47" s="62"/>
      <c r="CW47" s="62"/>
      <c r="CX47" s="62"/>
      <c r="CY47" s="62"/>
      <c r="CZ47" s="62"/>
      <c r="DA47" s="62"/>
      <c r="DB47" s="62"/>
      <c r="DC47" s="62"/>
      <c r="DD47" s="62"/>
      <c r="EJ47" s="62"/>
      <c r="EK47" s="62"/>
    </row>
    <row r="48" spans="5:141" ht="21" hidden="1" thickBot="1" x14ac:dyDescent="0.25">
      <c r="G48" s="793" t="s">
        <v>188</v>
      </c>
      <c r="H48" s="850">
        <f>($E$2*(H47-1))-$H$4</f>
        <v>-903</v>
      </c>
      <c r="I48"/>
      <c r="J48" s="763">
        <f>+BQ25/2</f>
        <v>84.9</v>
      </c>
      <c r="K48" s="763">
        <f>((H8-H48)/H8)*BQ25/2</f>
        <v>441.48</v>
      </c>
      <c r="L48" s="763">
        <f>+H48/H8*BQ25/2</f>
        <v>-356.58000000000004</v>
      </c>
      <c r="M48" s="761" t="s">
        <v>168</v>
      </c>
      <c r="N48"/>
      <c r="O48" s="794"/>
      <c r="BN48" s="69"/>
      <c r="BO48" s="863"/>
      <c r="BP48" s="160"/>
      <c r="BQ48" s="160"/>
      <c r="BR48" s="161"/>
      <c r="BS48" s="160"/>
      <c r="BT48" s="160"/>
      <c r="BU48" s="160"/>
      <c r="CA48" s="165">
        <v>7</v>
      </c>
      <c r="CB48" s="103">
        <f>IF(CH57=18,1)</f>
        <v>1</v>
      </c>
      <c r="CC48" s="169"/>
      <c r="CD48" s="169"/>
      <c r="CE48" s="169"/>
      <c r="CF48" s="169"/>
      <c r="CG48" s="169"/>
      <c r="CH48" s="169"/>
      <c r="CI48" s="169"/>
      <c r="CJ48" s="169"/>
      <c r="CK48" s="169"/>
      <c r="CL48" s="169"/>
      <c r="CM48" s="169"/>
      <c r="CN48" s="107">
        <f>IF(CH57=18,13)</f>
        <v>13</v>
      </c>
      <c r="CO48" s="161"/>
      <c r="CQ48" s="62"/>
      <c r="CR48" s="62"/>
      <c r="CS48" s="62"/>
      <c r="CT48" s="62"/>
      <c r="CU48" s="62"/>
      <c r="CV48" s="62"/>
      <c r="CW48" s="62"/>
      <c r="CX48" s="62"/>
      <c r="CY48" s="62"/>
      <c r="CZ48" s="62"/>
      <c r="DA48" s="62"/>
      <c r="DB48" s="62"/>
      <c r="DC48" s="62"/>
      <c r="DD48" s="62"/>
      <c r="EJ48" s="62"/>
      <c r="EK48" s="62"/>
    </row>
    <row r="49" spans="4:141" ht="21" hidden="1" thickBot="1" x14ac:dyDescent="0.25">
      <c r="G49" s="797"/>
      <c r="H49"/>
      <c r="I49"/>
      <c r="J49" s="764">
        <f>ABS($H$1/J48)</f>
        <v>212.01413427561835</v>
      </c>
      <c r="K49" s="764">
        <f>ABS($H$1/K48)</f>
        <v>40.77194889915738</v>
      </c>
      <c r="L49" s="764">
        <f>ABS($H$1/L48)</f>
        <v>50.479555779909134</v>
      </c>
      <c r="M49" s="766" t="s">
        <v>167</v>
      </c>
      <c r="N49" s="58"/>
      <c r="O49" s="809"/>
      <c r="BN49" s="69"/>
      <c r="BO49" s="863"/>
      <c r="BP49" s="160"/>
      <c r="BQ49" s="160"/>
      <c r="BR49" s="161"/>
      <c r="BS49" s="160"/>
      <c r="BT49" s="160"/>
      <c r="BU49" s="160"/>
      <c r="CA49" s="165">
        <v>6</v>
      </c>
      <c r="CB49" s="103" t="b">
        <f>IF(CG57=17,1)</f>
        <v>0</v>
      </c>
      <c r="CC49" s="169"/>
      <c r="CD49" s="169"/>
      <c r="CE49" s="169"/>
      <c r="CF49" s="169"/>
      <c r="CG49" s="169"/>
      <c r="CH49" s="169"/>
      <c r="CI49" s="169"/>
      <c r="CJ49" s="169"/>
      <c r="CK49" s="169"/>
      <c r="CL49" s="107" t="b">
        <f>IF(CG57=17,11)</f>
        <v>0</v>
      </c>
      <c r="CM49" s="160"/>
      <c r="CN49" s="160"/>
      <c r="CO49" s="161"/>
      <c r="CQ49" s="62"/>
      <c r="CR49" s="62"/>
      <c r="CS49" s="62"/>
      <c r="CT49" s="62"/>
      <c r="CU49" s="62"/>
      <c r="CV49" s="62"/>
      <c r="CW49" s="62"/>
      <c r="CX49" s="62"/>
      <c r="CY49" s="62"/>
      <c r="CZ49" s="62"/>
      <c r="DA49" s="62"/>
      <c r="DB49" s="62"/>
      <c r="DC49" s="62"/>
      <c r="DD49" s="62"/>
      <c r="EJ49" s="62"/>
      <c r="EK49" s="62"/>
    </row>
    <row r="50" spans="4:141" ht="21" hidden="1" thickBot="1" x14ac:dyDescent="0.25">
      <c r="G50" s="797"/>
      <c r="H50"/>
      <c r="I50"/>
      <c r="J50" s="1045">
        <f>ABS($E$20/BQ25)*2</f>
        <v>94.228504122497043</v>
      </c>
      <c r="K50" s="1045"/>
      <c r="L50" s="1045"/>
      <c r="M50" s="1046" t="s">
        <v>308</v>
      </c>
      <c r="N50" s="1052" t="s">
        <v>309</v>
      </c>
      <c r="O50" s="794"/>
      <c r="BN50" s="69"/>
      <c r="BO50" s="863"/>
      <c r="BP50" s="160"/>
      <c r="BQ50" s="160"/>
      <c r="BR50" s="161"/>
      <c r="BS50" s="160"/>
      <c r="BT50" s="160"/>
      <c r="BU50" s="160"/>
      <c r="CA50" s="165">
        <v>5</v>
      </c>
      <c r="CB50" s="100" t="b">
        <f>IF(CF57=16,1)</f>
        <v>0</v>
      </c>
      <c r="CC50" s="168"/>
      <c r="CD50" s="168"/>
      <c r="CE50" s="101"/>
      <c r="CF50" s="168"/>
      <c r="CG50" s="101"/>
      <c r="CH50" s="168"/>
      <c r="CI50" s="168"/>
      <c r="CJ50" s="86" t="b">
        <f>IF(CF57=16,9)</f>
        <v>0</v>
      </c>
      <c r="CK50" s="160"/>
      <c r="CL50" s="160"/>
      <c r="CM50" s="160"/>
      <c r="CN50" s="160"/>
      <c r="CO50" s="161"/>
      <c r="CQ50" s="62"/>
      <c r="CR50" s="62"/>
      <c r="CS50" s="62"/>
      <c r="CT50" s="62"/>
      <c r="CU50" s="62"/>
      <c r="CV50" s="62"/>
      <c r="CW50" s="62"/>
      <c r="CX50" s="62"/>
      <c r="CY50" s="62"/>
      <c r="CZ50" s="62"/>
      <c r="DA50" s="62"/>
      <c r="DB50" s="62"/>
      <c r="DC50" s="62"/>
      <c r="DD50" s="62"/>
      <c r="EJ50" s="62"/>
      <c r="EK50" s="62"/>
    </row>
    <row r="51" spans="4:141" ht="21" hidden="1" thickBot="1" x14ac:dyDescent="0.25">
      <c r="G51" s="797"/>
      <c r="H51"/>
      <c r="I51"/>
      <c r="J51" s="43"/>
      <c r="K51" s="43"/>
      <c r="L51" s="43"/>
      <c r="M51" s="43"/>
      <c r="N51"/>
      <c r="O51" s="794"/>
      <c r="BN51" s="69"/>
      <c r="BO51" s="863"/>
      <c r="BP51" s="160"/>
      <c r="BQ51" s="160"/>
      <c r="BR51" s="161"/>
      <c r="BS51" s="160"/>
      <c r="BT51" s="160"/>
      <c r="BU51" s="160"/>
      <c r="CA51" s="165">
        <v>4</v>
      </c>
      <c r="CB51" s="100" t="b">
        <f>IF(CE57=15,1)</f>
        <v>0</v>
      </c>
      <c r="CC51" s="101"/>
      <c r="CD51" s="101"/>
      <c r="CE51" s="168"/>
      <c r="CF51" s="101"/>
      <c r="CG51" s="101"/>
      <c r="CH51" s="86" t="b">
        <f>IF(CE57=15,7)</f>
        <v>0</v>
      </c>
      <c r="CI51" s="160"/>
      <c r="CJ51" s="160"/>
      <c r="CK51" s="160"/>
      <c r="CL51" s="160"/>
      <c r="CM51" s="160"/>
      <c r="CN51" s="160"/>
      <c r="CO51" s="161"/>
      <c r="CQ51" s="62"/>
      <c r="CR51" s="62"/>
      <c r="CS51" s="62"/>
      <c r="CT51" s="62"/>
      <c r="CU51" s="62"/>
      <c r="CV51" s="62"/>
      <c r="CW51" s="62"/>
      <c r="CX51" s="62"/>
      <c r="CY51" s="62"/>
      <c r="CZ51" s="62"/>
      <c r="DA51" s="62"/>
      <c r="DB51" s="62"/>
      <c r="DC51" s="62"/>
      <c r="DD51" s="62"/>
      <c r="EJ51" s="62"/>
      <c r="EK51" s="62"/>
    </row>
    <row r="52" spans="4:141" ht="21" hidden="1" thickBot="1" x14ac:dyDescent="0.25">
      <c r="G52" s="797"/>
      <c r="H52"/>
      <c r="I52" s="783">
        <v>64</v>
      </c>
      <c r="J52" s="1047" t="s">
        <v>203</v>
      </c>
      <c r="K52" s="1054"/>
      <c r="L52" s="1054"/>
      <c r="M52" s="1054"/>
      <c r="N52"/>
      <c r="O52" s="794"/>
      <c r="BN52" s="69"/>
      <c r="BO52" s="863"/>
      <c r="BP52" s="160"/>
      <c r="BQ52" s="160"/>
      <c r="BR52" s="161"/>
      <c r="BS52" s="160"/>
      <c r="BT52" s="160"/>
      <c r="BU52" s="160"/>
      <c r="CA52" s="165">
        <v>3</v>
      </c>
      <c r="CB52" s="103" t="b">
        <f>IF(CD57=14,1)</f>
        <v>0</v>
      </c>
      <c r="CC52" s="169"/>
      <c r="CD52" s="169"/>
      <c r="CE52" s="169"/>
      <c r="CF52" s="107" t="b">
        <f>IF(CD57=14,5)</f>
        <v>0</v>
      </c>
      <c r="CG52" s="160"/>
      <c r="CH52" s="160"/>
      <c r="CI52" s="160"/>
      <c r="CJ52" s="160"/>
      <c r="CK52" s="160"/>
      <c r="CL52" s="160"/>
      <c r="CM52" s="160"/>
      <c r="CN52" s="160"/>
      <c r="CO52" s="161"/>
      <c r="CQ52" s="62"/>
      <c r="CR52" s="62"/>
      <c r="CS52" s="62"/>
      <c r="CT52" s="62"/>
      <c r="CU52" s="62"/>
      <c r="CV52" s="62"/>
      <c r="CW52" s="62"/>
      <c r="CX52" s="62"/>
      <c r="CY52" s="62"/>
      <c r="CZ52" s="62"/>
      <c r="DA52" s="62"/>
      <c r="DB52" s="62"/>
      <c r="DC52" s="62"/>
      <c r="DD52" s="62"/>
      <c r="EJ52" s="62"/>
      <c r="EK52" s="62"/>
    </row>
    <row r="53" spans="4:141" ht="24" hidden="1" thickBot="1" x14ac:dyDescent="0.3">
      <c r="G53" s="801" t="s">
        <v>190</v>
      </c>
      <c r="H53" s="806" t="s">
        <v>197</v>
      </c>
      <c r="I53"/>
      <c r="J53" s="771" t="s">
        <v>189</v>
      </c>
      <c r="K53" s="761"/>
      <c r="L53" s="771" t="s">
        <v>187</v>
      </c>
      <c r="M53" s="924"/>
      <c r="N53"/>
      <c r="O53" s="794"/>
      <c r="BN53" s="69"/>
      <c r="BO53" s="863"/>
      <c r="BP53" s="160"/>
      <c r="BQ53" s="160"/>
      <c r="BR53" s="161"/>
      <c r="BS53" s="160"/>
      <c r="BT53" s="160"/>
      <c r="BU53" s="160"/>
      <c r="CA53" s="165">
        <v>2</v>
      </c>
      <c r="CB53" s="103" t="b">
        <f>IF(CC57=13,1)</f>
        <v>0</v>
      </c>
      <c r="CC53" s="169"/>
      <c r="CD53" s="107" t="b">
        <f>IF(CC57=13,3)</f>
        <v>0</v>
      </c>
      <c r="CE53" s="160"/>
      <c r="CF53" s="160"/>
      <c r="CG53" s="160"/>
      <c r="CH53" s="160"/>
      <c r="CI53" s="160"/>
      <c r="CJ53" s="160"/>
      <c r="CK53" s="160"/>
      <c r="CL53" s="160"/>
      <c r="CM53" s="160"/>
      <c r="CN53" s="160"/>
      <c r="CO53" s="161"/>
      <c r="CQ53" s="62"/>
      <c r="CR53" s="62"/>
      <c r="CS53" s="62"/>
      <c r="CT53" s="62"/>
      <c r="CU53" s="62"/>
      <c r="CV53" s="62"/>
      <c r="CW53" s="62"/>
      <c r="CX53" s="62"/>
      <c r="CY53" s="62"/>
      <c r="CZ53" s="62"/>
      <c r="DA53" s="62"/>
      <c r="DB53" s="62"/>
      <c r="DC53" s="62"/>
      <c r="DD53" s="62"/>
      <c r="EJ53" s="62"/>
      <c r="EK53" s="62"/>
    </row>
    <row r="54" spans="4:141" ht="15.75" customHeight="1" thickBot="1" x14ac:dyDescent="0.25">
      <c r="G54" s="793" t="s">
        <v>188</v>
      </c>
      <c r="H54" s="756"/>
      <c r="I54"/>
      <c r="J54" s="763">
        <f>+((H6-D3)/H6)*BQ25</f>
        <v>95.478254354302507</v>
      </c>
      <c r="K54" s="763"/>
      <c r="L54" s="763">
        <f>+(D3/H6)*BQ25</f>
        <v>74.321745645697504</v>
      </c>
      <c r="M54" s="761" t="s">
        <v>168</v>
      </c>
      <c r="N54"/>
      <c r="O54" s="794"/>
      <c r="BN54" s="69"/>
      <c r="BO54" s="863"/>
      <c r="BP54" s="160"/>
      <c r="BQ54" s="160"/>
      <c r="BR54" s="161"/>
      <c r="BS54" s="160"/>
      <c r="BT54" s="160"/>
      <c r="BU54" s="160"/>
      <c r="BV54" s="60"/>
      <c r="BW54" s="160"/>
      <c r="CA54" s="160"/>
      <c r="CB54" s="160"/>
      <c r="CC54" s="160"/>
      <c r="CD54" s="160"/>
      <c r="CE54" s="160"/>
      <c r="CF54" s="160"/>
      <c r="CG54" s="160"/>
      <c r="CH54" s="160"/>
      <c r="CI54" s="160"/>
      <c r="CJ54" s="160"/>
      <c r="CK54" s="160"/>
      <c r="CL54" s="161"/>
      <c r="CM54" s="90"/>
      <c r="CN54" s="90"/>
      <c r="CO54" s="90"/>
      <c r="CQ54" s="62"/>
      <c r="CR54" s="62"/>
      <c r="CS54" s="62"/>
      <c r="CT54" s="62"/>
      <c r="CU54" s="62"/>
      <c r="CV54" s="62"/>
      <c r="CW54" s="62"/>
      <c r="CX54" s="62"/>
      <c r="CY54" s="62"/>
      <c r="CZ54" s="62"/>
      <c r="DA54" s="62"/>
      <c r="DB54" s="62"/>
      <c r="DC54" s="62"/>
      <c r="DD54" s="62"/>
      <c r="EJ54" s="62"/>
      <c r="EK54" s="62"/>
    </row>
    <row r="55" spans="4:141" ht="49.5" customHeight="1" thickBot="1" x14ac:dyDescent="0.3">
      <c r="G55" s="799"/>
      <c r="H55" s="47"/>
      <c r="I55"/>
      <c r="J55" s="764">
        <f>ABS($H$1/J54)</f>
        <v>188.52460302851014</v>
      </c>
      <c r="K55" s="764"/>
      <c r="L55" s="764">
        <f>ABS($H$1/L54)</f>
        <v>242.19022095913354</v>
      </c>
      <c r="M55" s="766" t="s">
        <v>167</v>
      </c>
      <c r="N55"/>
      <c r="O55" s="794"/>
      <c r="BM55" s="305"/>
      <c r="BN55" s="171"/>
      <c r="BO55" s="866" t="s">
        <v>112</v>
      </c>
      <c r="BP55" s="589" t="s">
        <v>110</v>
      </c>
      <c r="BQ55" s="173"/>
      <c r="BR55" s="174"/>
      <c r="BS55" s="174"/>
      <c r="BT55" s="174"/>
      <c r="BU55" s="174"/>
      <c r="BV55" s="174"/>
      <c r="BW55" s="174"/>
      <c r="BX55" s="174"/>
      <c r="BY55" s="174"/>
      <c r="BZ55" s="174"/>
      <c r="CA55" s="174"/>
      <c r="CB55" s="601">
        <f>SUM(CB39:CB54)</f>
        <v>1</v>
      </c>
      <c r="CC55" s="602">
        <f t="shared" ref="CC55:CR55" si="0">SUM(CC39:CC54)</f>
        <v>0</v>
      </c>
      <c r="CD55" s="602">
        <f t="shared" si="0"/>
        <v>0</v>
      </c>
      <c r="CE55" s="602">
        <f t="shared" si="0"/>
        <v>0</v>
      </c>
      <c r="CF55" s="602">
        <f t="shared" si="0"/>
        <v>0</v>
      </c>
      <c r="CG55" s="602">
        <f t="shared" si="0"/>
        <v>0</v>
      </c>
      <c r="CH55" s="602">
        <f t="shared" si="0"/>
        <v>0</v>
      </c>
      <c r="CI55" s="602">
        <f t="shared" si="0"/>
        <v>0</v>
      </c>
      <c r="CJ55" s="602">
        <f t="shared" si="0"/>
        <v>0</v>
      </c>
      <c r="CK55" s="602">
        <f t="shared" si="0"/>
        <v>0</v>
      </c>
      <c r="CL55" s="602">
        <f t="shared" si="0"/>
        <v>0</v>
      </c>
      <c r="CM55" s="602">
        <f t="shared" si="0"/>
        <v>0</v>
      </c>
      <c r="CN55" s="602">
        <f t="shared" si="0"/>
        <v>13</v>
      </c>
      <c r="CO55" s="602">
        <f t="shared" si="0"/>
        <v>0</v>
      </c>
      <c r="CP55" s="602">
        <f t="shared" si="0"/>
        <v>0</v>
      </c>
      <c r="CQ55" s="602">
        <f t="shared" si="0"/>
        <v>0</v>
      </c>
      <c r="CR55" s="603">
        <f t="shared" si="0"/>
        <v>0</v>
      </c>
      <c r="CS55" s="174"/>
      <c r="CT55" s="174"/>
      <c r="CU55" s="175"/>
      <c r="CV55" s="175"/>
      <c r="CW55" s="175"/>
      <c r="CX55" s="175"/>
      <c r="CY55" s="175"/>
      <c r="CZ55" s="175"/>
      <c r="DA55" s="176"/>
      <c r="DB55" s="72"/>
      <c r="DC55" s="62"/>
      <c r="DD55" s="62"/>
    </row>
    <row r="56" spans="4:141" ht="37.5" customHeight="1" thickBot="1" x14ac:dyDescent="0.3">
      <c r="G56" s="799"/>
      <c r="H56" s="47"/>
      <c r="I56" s="58"/>
      <c r="J56" s="1045">
        <f>ABS($E$20/BQ25)*2</f>
        <v>94.228504122497043</v>
      </c>
      <c r="K56" s="1051"/>
      <c r="L56" s="1051"/>
      <c r="M56" s="1046" t="s">
        <v>308</v>
      </c>
      <c r="N56" s="1052" t="s">
        <v>309</v>
      </c>
      <c r="O56" s="794"/>
      <c r="BL56" s="767">
        <v>4</v>
      </c>
      <c r="BM56" s="1055" t="b">
        <f>AND(BO56&gt;=10,$AZ$150&gt;=10,$BA$150&gt;=10,$AZ$173&gt;=10,$BA$173&gt;=10)</f>
        <v>1</v>
      </c>
      <c r="BN56" s="67" t="str">
        <f>IF(BM56=TRUE,"O K","OVERLOAD")</f>
        <v>O K</v>
      </c>
      <c r="BO56" s="781">
        <f>+$E$20/(BQ25/2)</f>
        <v>94.228504122497043</v>
      </c>
      <c r="BP56" s="177"/>
      <c r="BQ56" s="90"/>
      <c r="BR56" s="91"/>
      <c r="BS56" s="90"/>
      <c r="BT56" s="90"/>
      <c r="BU56" s="90"/>
      <c r="BV56" s="91"/>
      <c r="BW56" s="90"/>
      <c r="BX56" s="90"/>
      <c r="BY56" s="90"/>
      <c r="BZ56" s="90"/>
      <c r="CA56" s="90"/>
      <c r="CB56" s="90"/>
      <c r="CC56" s="90"/>
      <c r="CD56" s="90"/>
      <c r="CE56" s="90"/>
      <c r="CF56" s="90"/>
      <c r="CG56" s="90"/>
      <c r="CH56" s="90"/>
      <c r="CI56" s="90"/>
      <c r="CJ56" s="90"/>
      <c r="CK56" s="90"/>
      <c r="CL56" s="90"/>
      <c r="CM56" s="90"/>
      <c r="CN56" s="90"/>
      <c r="CO56" s="90"/>
      <c r="CP56" s="90"/>
      <c r="CQ56" s="90"/>
      <c r="CR56" s="90"/>
      <c r="CS56" s="62"/>
      <c r="CT56" s="62"/>
      <c r="CU56" s="62"/>
      <c r="CV56" s="62"/>
      <c r="CW56" s="62"/>
      <c r="CX56" s="62"/>
      <c r="CY56" s="62"/>
      <c r="CZ56" s="62"/>
      <c r="DA56" s="62"/>
      <c r="DB56" s="62"/>
      <c r="DC56" s="62"/>
      <c r="DD56" s="62"/>
    </row>
    <row r="57" spans="4:141" ht="20" hidden="1" x14ac:dyDescent="0.2">
      <c r="G57" s="797"/>
      <c r="H57"/>
      <c r="I57"/>
      <c r="J57"/>
      <c r="K57"/>
      <c r="L57"/>
      <c r="M57"/>
      <c r="N57"/>
      <c r="O57" s="794"/>
      <c r="BM57" s="305"/>
      <c r="BN57" s="171"/>
      <c r="BO57" s="863"/>
      <c r="BP57" s="60"/>
      <c r="BQ57" s="178" t="b">
        <f>+BK181</f>
        <v>0</v>
      </c>
      <c r="BR57" s="178" t="b">
        <f>+BK182</f>
        <v>0</v>
      </c>
      <c r="BS57" s="178" t="b">
        <f>+BK183</f>
        <v>0</v>
      </c>
      <c r="BT57" s="178" t="b">
        <f>+BK184</f>
        <v>0</v>
      </c>
      <c r="BU57" s="178" t="b">
        <f>+BK185</f>
        <v>0</v>
      </c>
      <c r="BV57" s="178" t="b">
        <f>+BK186</f>
        <v>0</v>
      </c>
      <c r="BW57" s="178" t="b">
        <f>+BK187</f>
        <v>0</v>
      </c>
      <c r="BX57" s="178" t="b">
        <f>+BK188</f>
        <v>0</v>
      </c>
      <c r="BY57" s="178" t="b">
        <f>+BK189</f>
        <v>0</v>
      </c>
      <c r="BZ57" s="178" t="b">
        <f>+BK190</f>
        <v>0</v>
      </c>
      <c r="CA57" s="178" t="b">
        <f>+BK191</f>
        <v>0</v>
      </c>
      <c r="CB57" s="178" t="b">
        <f>+BK192</f>
        <v>0</v>
      </c>
      <c r="CC57" s="178" t="b">
        <f>+BK193</f>
        <v>0</v>
      </c>
      <c r="CD57" s="178" t="b">
        <f>+BK194</f>
        <v>0</v>
      </c>
      <c r="CE57" s="178" t="b">
        <f>+BK195</f>
        <v>0</v>
      </c>
      <c r="CF57" s="178" t="b">
        <f>+BK196</f>
        <v>0</v>
      </c>
      <c r="CG57" s="178" t="b">
        <f>+BK197</f>
        <v>0</v>
      </c>
      <c r="CH57" s="178">
        <f>+BK198</f>
        <v>18</v>
      </c>
      <c r="CI57" s="178" t="b">
        <f>+BK199</f>
        <v>0</v>
      </c>
      <c r="CJ57" s="178" t="b">
        <f>+BK200</f>
        <v>0</v>
      </c>
      <c r="CK57" s="178" t="b">
        <f>+BK201</f>
        <v>0</v>
      </c>
      <c r="CL57" s="178" t="b">
        <f>+BK202</f>
        <v>0</v>
      </c>
      <c r="CM57" s="178" t="b">
        <f>+BK203</f>
        <v>0</v>
      </c>
      <c r="CN57" s="178" t="b">
        <f>+BK204</f>
        <v>0</v>
      </c>
      <c r="CO57" s="178" t="b">
        <f>+BK205</f>
        <v>0</v>
      </c>
      <c r="CP57" s="178" t="b">
        <f>+BK206</f>
        <v>0</v>
      </c>
      <c r="CQ57" s="178" t="b">
        <f>+BK207</f>
        <v>0</v>
      </c>
      <c r="CR57" s="178" t="b">
        <f>+BK208</f>
        <v>0</v>
      </c>
      <c r="CS57" s="178" t="b">
        <f>+BK209</f>
        <v>0</v>
      </c>
      <c r="CT57" s="178" t="b">
        <f>+BK210</f>
        <v>0</v>
      </c>
      <c r="CU57" s="178" t="b">
        <f>+BK211</f>
        <v>0</v>
      </c>
      <c r="CV57" s="178" t="b">
        <f>+BK212</f>
        <v>0</v>
      </c>
      <c r="CW57" s="178" t="b">
        <f>+BK213</f>
        <v>0</v>
      </c>
      <c r="CX57" s="178" t="b">
        <f>+BK214</f>
        <v>0</v>
      </c>
      <c r="CY57" s="178" t="b">
        <f>+BK215</f>
        <v>0</v>
      </c>
      <c r="CZ57" s="178" t="b">
        <f>+BK216</f>
        <v>0</v>
      </c>
      <c r="DA57" s="178" t="b">
        <f>+BK217</f>
        <v>0</v>
      </c>
      <c r="DB57" s="179"/>
      <c r="DC57" s="62"/>
      <c r="DD57" s="62"/>
    </row>
    <row r="58" spans="4:141" ht="20" hidden="1" x14ac:dyDescent="0.2">
      <c r="G58" s="797"/>
      <c r="H58"/>
      <c r="I58"/>
      <c r="J58"/>
      <c r="K58"/>
      <c r="L58"/>
      <c r="M58"/>
      <c r="N58"/>
      <c r="O58" s="794"/>
      <c r="BM58" s="305"/>
      <c r="BN58" s="171"/>
      <c r="BO58" s="863"/>
      <c r="BP58" s="62"/>
      <c r="BQ58" s="179" t="b">
        <f>+BQ57</f>
        <v>0</v>
      </c>
      <c r="BR58" s="179" t="b">
        <f t="shared" ref="BR58:CI58" si="1">+BR57</f>
        <v>0</v>
      </c>
      <c r="BS58" s="179" t="b">
        <f t="shared" si="1"/>
        <v>0</v>
      </c>
      <c r="BT58" s="179" t="b">
        <f t="shared" si="1"/>
        <v>0</v>
      </c>
      <c r="BU58" s="179" t="b">
        <f t="shared" si="1"/>
        <v>0</v>
      </c>
      <c r="BV58" s="179" t="b">
        <f t="shared" si="1"/>
        <v>0</v>
      </c>
      <c r="BW58" s="179" t="b">
        <f>+BW57</f>
        <v>0</v>
      </c>
      <c r="BX58" s="179" t="b">
        <f t="shared" si="1"/>
        <v>0</v>
      </c>
      <c r="BY58" s="179" t="b">
        <f t="shared" si="1"/>
        <v>0</v>
      </c>
      <c r="BZ58" s="179" t="b">
        <f t="shared" si="1"/>
        <v>0</v>
      </c>
      <c r="CA58" s="179" t="b">
        <f t="shared" si="1"/>
        <v>0</v>
      </c>
      <c r="CB58" s="179" t="b">
        <f>+CB57</f>
        <v>0</v>
      </c>
      <c r="CC58" s="179" t="b">
        <f>+CC57</f>
        <v>0</v>
      </c>
      <c r="CD58" s="179" t="b">
        <f>+CD57</f>
        <v>0</v>
      </c>
      <c r="CE58" s="179" t="b">
        <f>+CE57</f>
        <v>0</v>
      </c>
      <c r="CF58" s="179" t="b">
        <f>+CF57</f>
        <v>0</v>
      </c>
      <c r="CG58" s="179" t="b">
        <f t="shared" si="1"/>
        <v>0</v>
      </c>
      <c r="CH58" s="179">
        <f t="shared" si="1"/>
        <v>18</v>
      </c>
      <c r="CI58" s="179" t="b">
        <f t="shared" si="1"/>
        <v>0</v>
      </c>
      <c r="CJ58" s="179" t="b">
        <f>+CJ57</f>
        <v>0</v>
      </c>
      <c r="CK58" s="179" t="b">
        <f>+CK57</f>
        <v>0</v>
      </c>
      <c r="CL58" s="179" t="b">
        <f t="shared" ref="CL58:DA58" si="2">+CL57</f>
        <v>0</v>
      </c>
      <c r="CM58" s="179" t="b">
        <f t="shared" si="2"/>
        <v>0</v>
      </c>
      <c r="CN58" s="179" t="b">
        <f t="shared" si="2"/>
        <v>0</v>
      </c>
      <c r="CO58" s="179" t="b">
        <f t="shared" si="2"/>
        <v>0</v>
      </c>
      <c r="CP58" s="179" t="b">
        <f t="shared" si="2"/>
        <v>0</v>
      </c>
      <c r="CQ58" s="179" t="b">
        <f t="shared" si="2"/>
        <v>0</v>
      </c>
      <c r="CR58" s="179" t="b">
        <f t="shared" si="2"/>
        <v>0</v>
      </c>
      <c r="CS58" s="179" t="b">
        <f t="shared" si="2"/>
        <v>0</v>
      </c>
      <c r="CT58" s="179" t="b">
        <f t="shared" si="2"/>
        <v>0</v>
      </c>
      <c r="CU58" s="179" t="b">
        <f t="shared" si="2"/>
        <v>0</v>
      </c>
      <c r="CV58" s="179" t="b">
        <f t="shared" si="2"/>
        <v>0</v>
      </c>
      <c r="CW58" s="179" t="b">
        <f t="shared" si="2"/>
        <v>0</v>
      </c>
      <c r="CX58" s="179" t="b">
        <f t="shared" si="2"/>
        <v>0</v>
      </c>
      <c r="CY58" s="179" t="b">
        <f t="shared" si="2"/>
        <v>0</v>
      </c>
      <c r="CZ58" s="179" t="b">
        <f t="shared" si="2"/>
        <v>0</v>
      </c>
      <c r="DA58" s="179" t="b">
        <f t="shared" si="2"/>
        <v>0</v>
      </c>
      <c r="DB58" s="179"/>
      <c r="DC58" s="62"/>
      <c r="DD58" s="62"/>
    </row>
    <row r="59" spans="4:141" ht="11.25" customHeight="1" thickBot="1" x14ac:dyDescent="0.25">
      <c r="G59" s="797"/>
      <c r="H59"/>
      <c r="I59"/>
      <c r="J59"/>
      <c r="K59"/>
      <c r="L59"/>
      <c r="M59"/>
      <c r="N59"/>
      <c r="O59" s="794"/>
      <c r="BM59" s="305"/>
      <c r="BN59" s="171"/>
      <c r="BO59" s="863"/>
      <c r="BP59" s="62"/>
      <c r="BQ59" s="179"/>
      <c r="BR59" s="179"/>
      <c r="BS59" s="179"/>
      <c r="BT59" s="179"/>
      <c r="BU59" s="179"/>
      <c r="BV59" s="179"/>
      <c r="BW59" s="179"/>
      <c r="BX59" s="179"/>
      <c r="BY59" s="179"/>
      <c r="BZ59" s="179"/>
      <c r="CA59" s="179"/>
      <c r="CB59" s="179"/>
      <c r="CC59" s="179"/>
      <c r="CD59" s="179"/>
      <c r="CE59" s="179"/>
      <c r="CF59" s="179"/>
      <c r="CG59" s="179"/>
      <c r="CH59" s="179"/>
      <c r="CI59" s="179"/>
      <c r="CJ59" s="179"/>
      <c r="CK59" s="179"/>
      <c r="CL59" s="179"/>
      <c r="CM59" s="179"/>
      <c r="CN59" s="179"/>
      <c r="CO59" s="179"/>
      <c r="CP59" s="179"/>
      <c r="CQ59" s="179"/>
      <c r="CR59" s="179"/>
      <c r="CS59" s="179"/>
      <c r="CT59" s="179"/>
      <c r="CU59" s="179"/>
      <c r="CV59" s="179"/>
      <c r="CW59" s="179"/>
      <c r="CX59" s="179"/>
      <c r="CY59" s="179"/>
      <c r="CZ59" s="179"/>
      <c r="DA59" s="179"/>
      <c r="DB59" s="179"/>
      <c r="DC59" s="62"/>
      <c r="DD59" s="62"/>
    </row>
    <row r="60" spans="4:141" ht="37.5" customHeight="1" thickBot="1" x14ac:dyDescent="0.3">
      <c r="G60" s="797"/>
      <c r="H60"/>
      <c r="I60"/>
      <c r="J60"/>
      <c r="K60"/>
      <c r="L60"/>
      <c r="M60"/>
      <c r="N60"/>
      <c r="O60" s="794"/>
      <c r="BM60" s="305"/>
      <c r="BN60" s="171"/>
      <c r="BO60" s="866" t="s">
        <v>112</v>
      </c>
      <c r="BP60" s="180" t="s">
        <v>113</v>
      </c>
      <c r="BQ60" s="591" t="str">
        <f>IF(BQ58=1,17,"")</f>
        <v/>
      </c>
      <c r="BR60" s="592" t="str">
        <f>IF(BR58=2,16,"")</f>
        <v/>
      </c>
      <c r="BS60" s="592" t="str">
        <f>IF(BS58=3,15,"")</f>
        <v/>
      </c>
      <c r="BT60" s="592" t="str">
        <f>IF(BT58=4,14,"")</f>
        <v/>
      </c>
      <c r="BU60" s="592" t="str">
        <f>IF(BU58=5,13,"")</f>
        <v/>
      </c>
      <c r="BV60" s="592" t="str">
        <f>IF(BV58=6,12,"")</f>
        <v/>
      </c>
      <c r="BW60" s="592" t="str">
        <f>IF(BW58=7,11,"")</f>
        <v/>
      </c>
      <c r="BX60" s="592" t="str">
        <f>IF(BX58=8,10,"")</f>
        <v/>
      </c>
      <c r="BY60" s="592" t="str">
        <f>IF(BY58=9,9,"")</f>
        <v/>
      </c>
      <c r="BZ60" s="592" t="str">
        <f>IF(BZ58=10,8,"")</f>
        <v/>
      </c>
      <c r="CA60" s="592" t="str">
        <f>IF(CA58=11,7,"")</f>
        <v/>
      </c>
      <c r="CB60" s="733" t="str">
        <f>IF(CB58=12,1,"")</f>
        <v/>
      </c>
      <c r="CC60" s="590" t="str">
        <f>IF(CC58=13,2,"")</f>
        <v/>
      </c>
      <c r="CD60" s="590" t="str">
        <f>IF(CD58=14,3,"")</f>
        <v/>
      </c>
      <c r="CE60" s="590" t="str">
        <f>IF(CE58=15,4,"")</f>
        <v/>
      </c>
      <c r="CF60" s="590" t="str">
        <f>IF(CF58=16,5,"")</f>
        <v/>
      </c>
      <c r="CG60" s="590" t="str">
        <f>IF(CG58=17,6,"")</f>
        <v/>
      </c>
      <c r="CH60" s="590">
        <f>IF(CH58=18,7,"")</f>
        <v>7</v>
      </c>
      <c r="CI60" s="590" t="str">
        <f>IF(CI58=19,8,"")</f>
        <v/>
      </c>
      <c r="CJ60" s="590" t="str">
        <f>IF(CJ58=20,9,"")</f>
        <v/>
      </c>
      <c r="CK60" s="590" t="str">
        <f>IF(CK58=21,10,"")</f>
        <v/>
      </c>
      <c r="CL60" s="590" t="str">
        <f>IF(CL58=22,11,"")</f>
        <v/>
      </c>
      <c r="CM60" s="590" t="str">
        <f>IF(CM58=23,12,"")</f>
        <v/>
      </c>
      <c r="CN60" s="590" t="str">
        <f>IF(CN58=24,13,"")</f>
        <v/>
      </c>
      <c r="CO60" s="590" t="str">
        <f>IF(CO58=25,14,"")</f>
        <v/>
      </c>
      <c r="CP60" s="590" t="str">
        <f>IF(CP58=26,15,"")</f>
        <v/>
      </c>
      <c r="CQ60" s="590" t="str">
        <f>IF(CQ58=27,16,"")</f>
        <v/>
      </c>
      <c r="CR60" s="734" t="str">
        <f>IF(CR58=28,17,"")</f>
        <v/>
      </c>
      <c r="CS60" s="599" t="str">
        <f>IF(CS58=29,9,"")</f>
        <v/>
      </c>
      <c r="CT60" s="599" t="str">
        <f>IF(CT58=30,10,"")</f>
        <v/>
      </c>
      <c r="CU60" s="599" t="str">
        <f>IF(CU58=31,11,"")</f>
        <v/>
      </c>
      <c r="CV60" s="599" t="str">
        <f>IF(CV58=32,12,"")</f>
        <v/>
      </c>
      <c r="CW60" s="599" t="str">
        <f>IF(CW58=33,13,"")</f>
        <v/>
      </c>
      <c r="CX60" s="599" t="str">
        <f>IF(CX58=34,14,"")</f>
        <v/>
      </c>
      <c r="CY60" s="599" t="str">
        <f>IF(CY58=35,15,"")</f>
        <v/>
      </c>
      <c r="CZ60" s="599" t="str">
        <f>IF(CZ58=36,16,"")</f>
        <v/>
      </c>
      <c r="DA60" s="600" t="str">
        <f>IF(DA58=37,17,"")</f>
        <v/>
      </c>
      <c r="DB60" s="181"/>
      <c r="DC60" s="62"/>
      <c r="DD60" s="62"/>
    </row>
    <row r="61" spans="4:141" ht="37.5" customHeight="1" thickBot="1" x14ac:dyDescent="0.3">
      <c r="G61" s="797"/>
      <c r="H61"/>
      <c r="I61"/>
      <c r="J61"/>
      <c r="K61"/>
      <c r="L61"/>
      <c r="M61"/>
      <c r="N61"/>
      <c r="O61" s="794"/>
      <c r="BL61" s="767">
        <v>5</v>
      </c>
      <c r="BM61" s="1055" t="b">
        <f>AND(BO61&gt;=10,$AZ$150&gt;=10,$BA$150&gt;=10,$AZ$173&gt;=10,$BA$173&gt;=10)</f>
        <v>1</v>
      </c>
      <c r="BN61" s="67" t="str">
        <f>IF(BM61=TRUE,"O K","OVERLOAD")</f>
        <v>O K</v>
      </c>
      <c r="BO61" s="781">
        <f>IF(SUM(BQ60:CA60)&gt;0,K85,0)+IF(SUM(CB60:CR60)&gt;0,L85,0)+IF(SUM(CS60:DA60)&gt;0,M85,0)</f>
        <v>47.114252061248521</v>
      </c>
      <c r="BP61" s="631" t="s">
        <v>139</v>
      </c>
      <c r="BQ61" s="632">
        <v>-10</v>
      </c>
      <c r="BR61" s="632">
        <v>-9</v>
      </c>
      <c r="BS61" s="632">
        <v>-8</v>
      </c>
      <c r="BT61" s="632">
        <v>-7</v>
      </c>
      <c r="BU61" s="632">
        <v>-6</v>
      </c>
      <c r="BV61" s="632">
        <v>-5</v>
      </c>
      <c r="BW61" s="632">
        <v>-4</v>
      </c>
      <c r="BX61" s="632">
        <v>-3</v>
      </c>
      <c r="BY61" s="632">
        <v>-2</v>
      </c>
      <c r="BZ61" s="632">
        <v>-1</v>
      </c>
      <c r="CA61" s="632">
        <v>0</v>
      </c>
      <c r="CB61" s="632">
        <v>1</v>
      </c>
      <c r="CC61" s="632">
        <v>2</v>
      </c>
      <c r="CD61" s="632">
        <v>3</v>
      </c>
      <c r="CE61" s="632">
        <v>4</v>
      </c>
      <c r="CF61" s="632">
        <v>5</v>
      </c>
      <c r="CG61" s="632">
        <v>6</v>
      </c>
      <c r="CH61" s="632">
        <v>7</v>
      </c>
      <c r="CI61" s="632">
        <v>8</v>
      </c>
      <c r="CJ61" s="632">
        <v>9</v>
      </c>
      <c r="CK61" s="632">
        <v>10</v>
      </c>
      <c r="CL61" s="632">
        <v>11</v>
      </c>
      <c r="CM61" s="632">
        <v>12</v>
      </c>
      <c r="CN61" s="632">
        <v>13</v>
      </c>
      <c r="CO61" s="632">
        <v>14</v>
      </c>
      <c r="CP61" s="632">
        <v>15</v>
      </c>
      <c r="CQ61" s="632">
        <v>16</v>
      </c>
      <c r="CR61" s="632">
        <v>17</v>
      </c>
      <c r="CS61" s="632">
        <v>18</v>
      </c>
      <c r="CT61" s="632">
        <v>19</v>
      </c>
      <c r="CU61" s="632">
        <v>20</v>
      </c>
      <c r="CV61" s="632">
        <v>21</v>
      </c>
      <c r="CW61" s="632">
        <v>22</v>
      </c>
      <c r="CX61" s="632">
        <v>23</v>
      </c>
      <c r="CY61" s="632">
        <v>24</v>
      </c>
      <c r="CZ61" s="632">
        <v>25</v>
      </c>
      <c r="DA61" s="634">
        <v>26</v>
      </c>
      <c r="DB61" s="181"/>
      <c r="DC61" s="62"/>
      <c r="DD61" s="62"/>
    </row>
    <row r="62" spans="4:141" ht="17.25" hidden="1" customHeight="1" x14ac:dyDescent="0.2">
      <c r="E62" s="300"/>
      <c r="F62" s="300"/>
      <c r="G62" s="797"/>
      <c r="H62"/>
      <c r="I62"/>
      <c r="J62"/>
      <c r="K62"/>
      <c r="L62"/>
      <c r="M62"/>
      <c r="N62"/>
      <c r="O62" s="794"/>
      <c r="U62" s="97"/>
      <c r="AB62" s="97"/>
      <c r="AC62" s="97"/>
      <c r="AD62" s="97"/>
      <c r="AE62" s="97"/>
      <c r="BM62" s="305"/>
      <c r="BN62" s="119"/>
      <c r="BP62" s="62"/>
      <c r="BQ62" s="182">
        <v>1</v>
      </c>
      <c r="BR62" s="182">
        <v>2</v>
      </c>
      <c r="BS62" s="182">
        <v>3</v>
      </c>
      <c r="BT62" s="182">
        <v>4</v>
      </c>
      <c r="BU62" s="182">
        <v>5</v>
      </c>
      <c r="BV62" s="182">
        <v>6</v>
      </c>
      <c r="BW62" s="182">
        <v>7</v>
      </c>
      <c r="BX62" s="182">
        <v>8</v>
      </c>
      <c r="BY62" s="182">
        <v>9</v>
      </c>
      <c r="BZ62" s="182">
        <v>10</v>
      </c>
      <c r="CA62" s="182">
        <v>11</v>
      </c>
      <c r="CB62" s="182">
        <v>12</v>
      </c>
      <c r="CC62" s="182">
        <v>13</v>
      </c>
      <c r="CD62" s="182">
        <v>14</v>
      </c>
      <c r="CE62" s="182">
        <v>15</v>
      </c>
      <c r="CF62" s="182">
        <v>16</v>
      </c>
      <c r="CG62" s="182">
        <v>17</v>
      </c>
      <c r="CH62" s="182">
        <v>18</v>
      </c>
      <c r="CI62" s="182">
        <v>19</v>
      </c>
      <c r="CJ62" s="182">
        <v>20</v>
      </c>
      <c r="CK62" s="182">
        <v>21</v>
      </c>
      <c r="CL62" s="182">
        <v>22</v>
      </c>
      <c r="CM62" s="182">
        <v>23</v>
      </c>
      <c r="CN62" s="182">
        <v>24</v>
      </c>
      <c r="CO62" s="182">
        <v>25</v>
      </c>
      <c r="CP62" s="182">
        <v>26</v>
      </c>
      <c r="CQ62" s="182">
        <v>27</v>
      </c>
      <c r="CR62" s="182">
        <v>28</v>
      </c>
      <c r="CS62" s="182">
        <v>29</v>
      </c>
      <c r="CT62" s="182">
        <v>30</v>
      </c>
      <c r="CU62" s="182">
        <v>31</v>
      </c>
      <c r="CV62" s="182">
        <v>32</v>
      </c>
      <c r="CW62" s="182">
        <v>33</v>
      </c>
      <c r="CX62" s="182">
        <v>34</v>
      </c>
      <c r="CY62" s="182">
        <v>35</v>
      </c>
      <c r="CZ62" s="182">
        <v>36</v>
      </c>
      <c r="DA62" s="182">
        <v>37</v>
      </c>
      <c r="DB62" s="182"/>
      <c r="DC62" s="62"/>
      <c r="DD62" s="62"/>
    </row>
    <row r="63" spans="4:141" ht="20" hidden="1" x14ac:dyDescent="0.2">
      <c r="E63" s="300"/>
      <c r="F63" s="300"/>
      <c r="G63" s="797"/>
      <c r="H63"/>
      <c r="I63"/>
      <c r="J63"/>
      <c r="K63"/>
      <c r="L63"/>
      <c r="M63"/>
      <c r="N63"/>
      <c r="O63" s="794"/>
      <c r="U63" s="97"/>
      <c r="AB63" s="97"/>
      <c r="AC63" s="97"/>
      <c r="AD63" s="97"/>
      <c r="AE63" s="97"/>
      <c r="BM63" s="305"/>
      <c r="BN63" s="119"/>
      <c r="BO63" s="863"/>
      <c r="BP63" s="62"/>
      <c r="BQ63" s="182"/>
      <c r="BR63" s="182"/>
      <c r="BS63" s="182"/>
      <c r="BT63" s="182"/>
      <c r="BU63" s="182"/>
      <c r="BV63" s="182"/>
      <c r="BW63" s="182"/>
      <c r="BX63" s="182"/>
      <c r="BY63" s="182"/>
      <c r="BZ63" s="182"/>
      <c r="CA63" s="182"/>
      <c r="CB63" s="182"/>
      <c r="CC63" s="182"/>
      <c r="CD63" s="182"/>
      <c r="CE63" s="182"/>
      <c r="CF63" s="182"/>
      <c r="CG63" s="182"/>
      <c r="CH63" s="182"/>
      <c r="CI63" s="182"/>
      <c r="CJ63" s="182"/>
      <c r="CK63" s="182"/>
      <c r="CL63" s="182"/>
      <c r="CM63" s="182"/>
      <c r="CN63" s="182"/>
      <c r="CO63" s="182"/>
      <c r="CP63" s="182"/>
      <c r="CQ63" s="182"/>
      <c r="CR63" s="182"/>
      <c r="CS63" s="182"/>
      <c r="CT63" s="182"/>
      <c r="CU63" s="182"/>
      <c r="CV63" s="182"/>
      <c r="CW63" s="182"/>
      <c r="CX63" s="182"/>
      <c r="CY63" s="182"/>
      <c r="CZ63" s="182"/>
      <c r="DA63" s="182"/>
      <c r="DB63" s="182"/>
    </row>
    <row r="64" spans="4:141" ht="20" hidden="1" x14ac:dyDescent="0.2">
      <c r="D64" s="300"/>
      <c r="E64" s="300"/>
      <c r="F64" s="300"/>
      <c r="G64" s="797"/>
      <c r="H64"/>
      <c r="I64"/>
      <c r="J64"/>
      <c r="K64"/>
      <c r="L64"/>
      <c r="M64"/>
      <c r="N64"/>
      <c r="O64" s="794"/>
      <c r="U64" s="97"/>
      <c r="AB64" s="97"/>
      <c r="AC64" s="97"/>
      <c r="AD64" s="97"/>
      <c r="AE64" s="97"/>
      <c r="BM64" s="305"/>
      <c r="BN64" s="119"/>
      <c r="BO64" s="863"/>
      <c r="BP64" s="60"/>
      <c r="BQ64" s="60"/>
      <c r="BR64" s="60"/>
      <c r="BS64" s="60"/>
      <c r="BT64" s="60"/>
      <c r="BU64" s="60"/>
      <c r="BV64" s="185"/>
      <c r="BW64" s="185"/>
      <c r="BX64" s="185"/>
      <c r="BY64" s="185"/>
      <c r="BZ64" s="185"/>
      <c r="CA64" s="185"/>
      <c r="CB64" s="185"/>
      <c r="CC64" s="185"/>
      <c r="CD64" s="185"/>
      <c r="CE64" s="185"/>
      <c r="CF64" s="185"/>
      <c r="CG64" s="185"/>
      <c r="CH64" s="185"/>
      <c r="CI64" s="185"/>
      <c r="CJ64" s="62"/>
      <c r="CK64" s="62"/>
      <c r="CL64" s="62"/>
      <c r="CM64" s="62"/>
      <c r="CN64" s="62"/>
      <c r="CO64" s="62"/>
      <c r="CP64" s="62"/>
      <c r="CQ64" s="62"/>
      <c r="CR64" s="62"/>
      <c r="CS64" s="62"/>
      <c r="CT64" s="62"/>
      <c r="CU64" s="62"/>
      <c r="CV64" s="62"/>
      <c r="CW64" s="62"/>
      <c r="CX64" s="62"/>
      <c r="CY64" s="62"/>
      <c r="CZ64" s="62"/>
      <c r="DA64" s="62"/>
      <c r="DB64" s="62"/>
      <c r="DC64" s="62"/>
      <c r="DD64" s="62"/>
    </row>
    <row r="65" spans="2:96" hidden="1" x14ac:dyDescent="0.2">
      <c r="D65" s="300"/>
      <c r="E65" s="300"/>
      <c r="F65" s="300"/>
      <c r="G65" s="797"/>
      <c r="H65"/>
      <c r="I65"/>
      <c r="J65"/>
      <c r="K65"/>
      <c r="L65"/>
      <c r="M65"/>
      <c r="N65"/>
      <c r="O65" s="794"/>
      <c r="U65" s="97"/>
      <c r="AB65" s="97"/>
      <c r="AC65" s="97"/>
      <c r="AD65" s="97"/>
      <c r="AE65" s="97"/>
      <c r="BM65" s="305"/>
      <c r="BN65" s="119"/>
      <c r="BO65" s="863"/>
      <c r="BP65" s="109"/>
      <c r="BQ65" s="109"/>
      <c r="BR65" s="109"/>
      <c r="BS65" s="109"/>
      <c r="BT65" s="109"/>
      <c r="BU65" s="109"/>
      <c r="BV65" s="186"/>
      <c r="BW65" s="186"/>
      <c r="BX65" s="186"/>
      <c r="BY65" s="186"/>
      <c r="BZ65" s="186"/>
      <c r="CA65" s="186"/>
      <c r="CB65" s="186"/>
      <c r="CC65" s="186"/>
      <c r="CD65" s="186"/>
      <c r="CE65" s="186"/>
      <c r="CF65" s="186"/>
      <c r="CG65" s="186"/>
      <c r="CH65" s="186"/>
      <c r="CI65" s="186"/>
    </row>
    <row r="66" spans="2:96" hidden="1" x14ac:dyDescent="0.2">
      <c r="B66" s="302"/>
      <c r="C66" s="302"/>
      <c r="D66" s="300"/>
      <c r="E66" s="300"/>
      <c r="F66" s="300"/>
      <c r="G66" s="797"/>
      <c r="H66"/>
      <c r="I66"/>
      <c r="J66"/>
      <c r="K66"/>
      <c r="L66"/>
      <c r="M66"/>
      <c r="N66"/>
      <c r="O66" s="794"/>
      <c r="U66" s="97"/>
      <c r="AB66" s="97"/>
      <c r="AC66" s="97"/>
      <c r="AD66" s="97"/>
      <c r="AE66" s="97"/>
      <c r="BM66" s="305"/>
      <c r="BN66" s="170"/>
      <c r="BO66" s="863"/>
      <c r="BP66" s="48"/>
      <c r="BS66" s="109"/>
      <c r="BT66" s="109"/>
      <c r="BU66" s="109"/>
      <c r="BV66" s="186"/>
      <c r="BW66" s="186"/>
      <c r="BX66" s="186"/>
      <c r="BY66" s="186"/>
      <c r="BZ66" s="186"/>
      <c r="CA66" s="186"/>
      <c r="CB66" s="186"/>
      <c r="CC66" s="186"/>
      <c r="CD66" s="186"/>
      <c r="CE66" s="186"/>
      <c r="CF66" s="186"/>
      <c r="CG66" s="186"/>
      <c r="CH66" s="186"/>
      <c r="CI66" s="186"/>
      <c r="CR66" s="48"/>
    </row>
    <row r="67" spans="2:96" hidden="1" x14ac:dyDescent="0.2">
      <c r="B67" s="302"/>
      <c r="C67" s="302"/>
      <c r="D67" s="300"/>
      <c r="E67" s="300"/>
      <c r="F67" s="300"/>
      <c r="G67" s="797"/>
      <c r="H67"/>
      <c r="I67"/>
      <c r="J67"/>
      <c r="K67"/>
      <c r="L67"/>
      <c r="M67"/>
      <c r="N67"/>
      <c r="O67" s="794"/>
      <c r="U67" s="97"/>
      <c r="AB67" s="97"/>
      <c r="AC67" s="97"/>
      <c r="AD67" s="97"/>
      <c r="AE67" s="97"/>
      <c r="BM67" s="305"/>
      <c r="BN67" s="170"/>
      <c r="BO67" s="863"/>
      <c r="BP67" s="48"/>
      <c r="BS67" s="109"/>
      <c r="BT67" s="109"/>
      <c r="BU67" s="109"/>
      <c r="BV67" s="186"/>
      <c r="BW67" s="186"/>
      <c r="BX67" s="186"/>
      <c r="BY67" s="186"/>
      <c r="BZ67" s="186"/>
      <c r="CA67" s="186"/>
      <c r="CB67" s="186"/>
      <c r="CC67" s="186"/>
      <c r="CD67" s="186"/>
      <c r="CE67" s="186"/>
      <c r="CF67" s="186"/>
      <c r="CG67" s="186"/>
      <c r="CH67" s="186"/>
      <c r="CI67" s="186"/>
      <c r="CP67" s="195"/>
      <c r="CR67" s="48"/>
    </row>
    <row r="68" spans="2:96" hidden="1" x14ac:dyDescent="0.2">
      <c r="B68" s="304"/>
      <c r="E68" s="300"/>
      <c r="F68" s="300"/>
      <c r="G68" s="797"/>
      <c r="H68"/>
      <c r="I68"/>
      <c r="J68"/>
      <c r="K68"/>
      <c r="L68"/>
      <c r="M68"/>
      <c r="N68"/>
      <c r="O68" s="794"/>
      <c r="U68" s="97"/>
      <c r="AB68" s="97"/>
      <c r="AC68" s="97"/>
      <c r="AD68" s="97"/>
      <c r="AE68" s="97"/>
      <c r="BM68" s="305"/>
      <c r="BN68" s="119"/>
      <c r="BO68" s="863"/>
      <c r="BP68" s="109"/>
      <c r="BQ68" s="109"/>
      <c r="BR68" s="109"/>
      <c r="BS68" s="109"/>
      <c r="BT68" s="109"/>
      <c r="BU68" s="109"/>
      <c r="BV68" s="186"/>
      <c r="BW68" s="186"/>
      <c r="BX68" s="186"/>
      <c r="BY68" s="186"/>
      <c r="BZ68" s="186"/>
      <c r="CA68" s="186"/>
      <c r="CB68" s="186"/>
      <c r="CC68" s="186"/>
      <c r="CD68" s="186"/>
      <c r="CE68" s="186"/>
      <c r="CF68" s="186"/>
      <c r="CG68" s="186"/>
      <c r="CH68" s="186"/>
      <c r="CI68" s="186"/>
    </row>
    <row r="69" spans="2:96" ht="20" hidden="1" x14ac:dyDescent="0.3">
      <c r="B69" s="48"/>
      <c r="C69" s="302"/>
      <c r="D69" s="300"/>
      <c r="E69" s="48"/>
      <c r="G69" s="797"/>
      <c r="H69"/>
      <c r="I69"/>
      <c r="J69"/>
      <c r="K69"/>
      <c r="L69"/>
      <c r="M69"/>
      <c r="N69"/>
      <c r="O69" s="794"/>
      <c r="U69" s="97"/>
      <c r="AB69" s="97"/>
      <c r="AC69" s="97"/>
      <c r="AD69" s="97"/>
      <c r="AE69" s="97"/>
      <c r="BM69" s="197"/>
      <c r="BN69" s="197"/>
      <c r="BO69" s="197"/>
    </row>
    <row r="70" spans="2:96" ht="20" hidden="1" x14ac:dyDescent="0.3">
      <c r="B70" s="302"/>
      <c r="C70" s="302"/>
      <c r="D70" s="300"/>
      <c r="E70" s="300"/>
      <c r="F70" s="300"/>
      <c r="G70" s="797"/>
      <c r="H70"/>
      <c r="I70"/>
      <c r="J70"/>
      <c r="K70"/>
      <c r="L70"/>
      <c r="M70"/>
      <c r="N70"/>
      <c r="O70" s="794"/>
      <c r="U70" s="97"/>
      <c r="AB70" s="97"/>
      <c r="AC70" s="97"/>
      <c r="AD70" s="97"/>
      <c r="AE70" s="97"/>
      <c r="BM70" s="197"/>
      <c r="BN70" s="197"/>
      <c r="BO70" s="197"/>
    </row>
    <row r="71" spans="2:96" ht="20" hidden="1" x14ac:dyDescent="0.3">
      <c r="B71" s="12"/>
      <c r="C71" s="302"/>
      <c r="E71" s="12"/>
      <c r="G71" s="797"/>
      <c r="H71"/>
      <c r="I71"/>
      <c r="J71"/>
      <c r="K71"/>
      <c r="L71"/>
      <c r="M71"/>
      <c r="N71"/>
      <c r="O71" s="794"/>
      <c r="U71" s="97"/>
      <c r="AB71" s="97"/>
      <c r="AC71" s="97"/>
      <c r="AD71" s="97"/>
      <c r="AE71" s="97"/>
      <c r="BE71" s="97"/>
      <c r="BF71" s="97"/>
      <c r="BG71" s="97"/>
      <c r="BH71" s="97"/>
      <c r="BM71" s="197"/>
      <c r="BN71" s="197"/>
      <c r="BO71" s="197"/>
    </row>
    <row r="72" spans="2:96" ht="30" hidden="1" x14ac:dyDescent="0.3">
      <c r="B72" s="51"/>
      <c r="C72" s="302"/>
      <c r="E72" s="52"/>
      <c r="G72" s="797"/>
      <c r="H72"/>
      <c r="I72"/>
      <c r="J72"/>
      <c r="K72"/>
      <c r="L72"/>
      <c r="M72"/>
      <c r="N72"/>
      <c r="O72" s="794"/>
      <c r="U72" s="97"/>
      <c r="AB72" s="97"/>
      <c r="AC72" s="97"/>
      <c r="AD72" s="97"/>
      <c r="AE72" s="97"/>
      <c r="BE72" s="97"/>
      <c r="BF72" s="97"/>
      <c r="BG72" s="97"/>
      <c r="BH72" s="97"/>
      <c r="BM72" s="197"/>
      <c r="BN72" s="197"/>
      <c r="BO72" s="197"/>
    </row>
    <row r="73" spans="2:96" ht="20" hidden="1" x14ac:dyDescent="0.3">
      <c r="B73" s="302"/>
      <c r="C73" s="302"/>
      <c r="D73" s="300"/>
      <c r="E73" s="300"/>
      <c r="F73" s="300"/>
      <c r="G73" s="797"/>
      <c r="H73"/>
      <c r="I73"/>
      <c r="J73"/>
      <c r="K73"/>
      <c r="L73"/>
      <c r="M73"/>
      <c r="N73"/>
      <c r="O73" s="794"/>
      <c r="U73" s="97"/>
      <c r="AB73" s="97"/>
      <c r="AC73" s="97"/>
      <c r="AD73" s="97"/>
      <c r="AE73" s="97"/>
      <c r="BE73" s="97"/>
      <c r="BF73" s="97"/>
      <c r="BG73" s="97"/>
      <c r="BH73" s="97"/>
      <c r="BM73" s="197"/>
      <c r="BN73" s="197"/>
      <c r="BO73" s="197"/>
    </row>
    <row r="74" spans="2:96" ht="20" hidden="1" x14ac:dyDescent="0.3">
      <c r="B74" s="302"/>
      <c r="C74" s="302"/>
      <c r="D74" s="300"/>
      <c r="E74" s="300"/>
      <c r="F74" s="300"/>
      <c r="G74" s="797"/>
      <c r="H74"/>
      <c r="I74"/>
      <c r="J74"/>
      <c r="K74"/>
      <c r="L74"/>
      <c r="M74"/>
      <c r="N74"/>
      <c r="O74" s="794"/>
      <c r="U74" s="97"/>
      <c r="AB74" s="97"/>
      <c r="AC74" s="97"/>
      <c r="AD74" s="97"/>
      <c r="AE74" s="97"/>
      <c r="BM74" s="197"/>
      <c r="BN74" s="197"/>
      <c r="BO74" s="197"/>
    </row>
    <row r="75" spans="2:96" ht="20" hidden="1" x14ac:dyDescent="0.3">
      <c r="B75" s="302"/>
      <c r="C75" s="302"/>
      <c r="D75" s="300"/>
      <c r="E75" s="300"/>
      <c r="F75" s="300"/>
      <c r="G75" s="797"/>
      <c r="H75"/>
      <c r="I75"/>
      <c r="J75"/>
      <c r="K75"/>
      <c r="L75"/>
      <c r="M75"/>
      <c r="N75"/>
      <c r="O75" s="794"/>
      <c r="U75" s="97"/>
      <c r="AB75" s="97"/>
      <c r="AC75" s="97"/>
      <c r="AD75" s="97"/>
      <c r="AE75" s="97"/>
      <c r="BE75" s="109"/>
      <c r="BF75" s="109"/>
      <c r="BG75" s="109"/>
      <c r="BH75" s="109"/>
      <c r="BM75" s="197"/>
      <c r="BN75" s="197"/>
      <c r="BO75" s="197"/>
    </row>
    <row r="76" spans="2:96" ht="20" hidden="1" x14ac:dyDescent="0.3">
      <c r="B76" s="302"/>
      <c r="C76" s="302"/>
      <c r="D76" s="300"/>
      <c r="E76" s="300"/>
      <c r="F76" s="300"/>
      <c r="G76" s="797"/>
      <c r="H76"/>
      <c r="I76"/>
      <c r="J76"/>
      <c r="K76"/>
      <c r="L76"/>
      <c r="M76"/>
      <c r="N76"/>
      <c r="O76" s="794"/>
      <c r="U76" s="97"/>
      <c r="AB76" s="97"/>
      <c r="AC76" s="97"/>
      <c r="AD76" s="97"/>
      <c r="AE76" s="97"/>
      <c r="BE76" s="109"/>
      <c r="BF76" s="109"/>
      <c r="BG76" s="109"/>
      <c r="BH76" s="109"/>
      <c r="BM76" s="197"/>
      <c r="BN76" s="197"/>
      <c r="BO76" s="197"/>
    </row>
    <row r="77" spans="2:96" ht="20" hidden="1" x14ac:dyDescent="0.3">
      <c r="B77" s="302"/>
      <c r="C77" s="302"/>
      <c r="D77" s="300"/>
      <c r="E77" s="300"/>
      <c r="F77" s="300"/>
      <c r="G77" s="797"/>
      <c r="H77"/>
      <c r="I77"/>
      <c r="J77"/>
      <c r="K77"/>
      <c r="L77"/>
      <c r="M77"/>
      <c r="N77"/>
      <c r="O77" s="794"/>
      <c r="U77" s="97"/>
      <c r="AB77" s="97"/>
      <c r="AC77" s="97"/>
      <c r="AD77" s="97"/>
      <c r="AE77" s="97"/>
      <c r="BE77" s="109"/>
      <c r="BF77" s="109"/>
      <c r="BG77" s="109"/>
      <c r="BH77" s="109"/>
      <c r="BM77" s="197"/>
      <c r="BN77" s="197"/>
      <c r="BO77" s="197"/>
    </row>
    <row r="78" spans="2:96" ht="20" hidden="1" x14ac:dyDescent="0.3">
      <c r="B78" s="302"/>
      <c r="C78" s="302"/>
      <c r="D78" s="300"/>
      <c r="E78" s="300"/>
      <c r="F78" s="300"/>
      <c r="G78" s="797"/>
      <c r="H78"/>
      <c r="I78"/>
      <c r="J78"/>
      <c r="K78"/>
      <c r="L78"/>
      <c r="M78"/>
      <c r="N78"/>
      <c r="O78" s="794"/>
      <c r="U78" s="97"/>
      <c r="AB78" s="97"/>
      <c r="AC78" s="97"/>
      <c r="AD78" s="97"/>
      <c r="AE78" s="97"/>
      <c r="BE78" s="109"/>
      <c r="BF78" s="109"/>
      <c r="BG78" s="109"/>
      <c r="BH78" s="109"/>
      <c r="BM78" s="197"/>
      <c r="BN78" s="197"/>
      <c r="BO78" s="197"/>
    </row>
    <row r="79" spans="2:96" ht="20" hidden="1" x14ac:dyDescent="0.3">
      <c r="B79" s="302"/>
      <c r="C79" s="302"/>
      <c r="D79" s="300"/>
      <c r="E79" s="300"/>
      <c r="F79" s="300"/>
      <c r="G79" s="807"/>
      <c r="H79"/>
      <c r="I79"/>
      <c r="J79"/>
      <c r="K79"/>
      <c r="L79"/>
      <c r="M79"/>
      <c r="N79"/>
      <c r="O79" s="794"/>
      <c r="U79" s="97"/>
      <c r="AB79" s="97"/>
      <c r="AC79" s="97"/>
      <c r="AD79" s="97"/>
      <c r="AE79" s="97"/>
      <c r="BE79" s="109"/>
      <c r="BF79" s="109"/>
      <c r="BG79" s="109"/>
      <c r="BH79" s="109"/>
      <c r="BM79" s="197"/>
      <c r="BN79" s="197"/>
      <c r="BO79" s="197"/>
    </row>
    <row r="80" spans="2:96" ht="20" hidden="1" x14ac:dyDescent="0.3">
      <c r="B80" s="302"/>
      <c r="C80" s="302"/>
      <c r="D80" s="300"/>
      <c r="E80" s="300"/>
      <c r="F80" s="300"/>
      <c r="G80" s="797"/>
      <c r="H80"/>
      <c r="I80"/>
      <c r="J80"/>
      <c r="K80"/>
      <c r="L80"/>
      <c r="M80"/>
      <c r="N80"/>
      <c r="O80" s="794"/>
      <c r="U80" s="97"/>
      <c r="AB80" s="97"/>
      <c r="AC80" s="97"/>
      <c r="AD80" s="97"/>
      <c r="AE80" s="97"/>
      <c r="BE80" s="119"/>
      <c r="BF80" s="119"/>
      <c r="BG80" s="119"/>
      <c r="BH80" s="119"/>
      <c r="BM80" s="197"/>
      <c r="BN80" s="197"/>
      <c r="BO80" s="197"/>
    </row>
    <row r="81" spans="2:67" ht="20" hidden="1" x14ac:dyDescent="0.3">
      <c r="B81" s="302"/>
      <c r="C81" s="302"/>
      <c r="D81" s="300"/>
      <c r="E81" s="300"/>
      <c r="F81" s="300"/>
      <c r="G81" s="797"/>
      <c r="H81"/>
      <c r="I81"/>
      <c r="J81"/>
      <c r="K81"/>
      <c r="L81"/>
      <c r="M81"/>
      <c r="N81"/>
      <c r="O81" s="794"/>
      <c r="U81" s="97"/>
      <c r="AB81" s="97"/>
      <c r="AC81" s="97"/>
      <c r="AD81" s="97"/>
      <c r="AE81" s="97"/>
      <c r="BE81" s="119"/>
      <c r="BF81" s="119"/>
      <c r="BG81" s="119"/>
      <c r="BH81" s="119"/>
      <c r="BM81" s="197"/>
      <c r="BN81" s="197"/>
      <c r="BO81" s="197"/>
    </row>
    <row r="82" spans="2:67" ht="21" hidden="1" thickBot="1" x14ac:dyDescent="0.35">
      <c r="B82" s="302"/>
      <c r="C82" s="302"/>
      <c r="D82" s="300"/>
      <c r="E82" s="300"/>
      <c r="F82" s="300"/>
      <c r="G82" s="797"/>
      <c r="H82"/>
      <c r="I82"/>
      <c r="J82"/>
      <c r="K82"/>
      <c r="L82"/>
      <c r="M82"/>
      <c r="N82"/>
      <c r="O82" s="794"/>
      <c r="U82" s="97"/>
      <c r="AB82" s="97"/>
      <c r="AC82" s="97"/>
      <c r="AD82" s="97"/>
      <c r="AE82" s="97"/>
      <c r="BE82" s="119"/>
      <c r="BF82" s="119"/>
      <c r="BG82" s="119"/>
      <c r="BH82" s="119"/>
      <c r="BM82" s="197"/>
      <c r="BN82" s="197"/>
      <c r="BO82" s="197"/>
    </row>
    <row r="83" spans="2:67" ht="21" hidden="1" thickBot="1" x14ac:dyDescent="0.35">
      <c r="B83" s="302"/>
      <c r="C83" s="302"/>
      <c r="D83" s="300"/>
      <c r="E83" s="300"/>
      <c r="F83" s="300"/>
      <c r="G83" s="797"/>
      <c r="H83"/>
      <c r="I83"/>
      <c r="J83"/>
      <c r="K83" s="787">
        <v>5</v>
      </c>
      <c r="L83"/>
      <c r="M83" s="787">
        <v>51</v>
      </c>
      <c r="N83"/>
      <c r="O83" s="794"/>
      <c r="U83" s="97"/>
      <c r="AB83" s="97"/>
      <c r="AC83" s="97"/>
      <c r="AD83" s="97"/>
      <c r="AE83" s="97"/>
      <c r="BE83" s="119"/>
      <c r="BF83" s="119"/>
      <c r="BG83" s="119"/>
      <c r="BH83" s="119"/>
      <c r="BM83" s="197"/>
      <c r="BN83" s="197"/>
      <c r="BO83" s="197"/>
    </row>
    <row r="84" spans="2:67" ht="75.75" customHeight="1" thickBot="1" x14ac:dyDescent="0.35">
      <c r="B84" s="302"/>
      <c r="C84" s="302"/>
      <c r="D84" s="300"/>
      <c r="E84" s="300"/>
      <c r="F84" s="300"/>
      <c r="G84" s="797"/>
      <c r="H84"/>
      <c r="I84"/>
      <c r="J84"/>
      <c r="K84" s="768" t="s">
        <v>181</v>
      </c>
      <c r="L84" s="768" t="s">
        <v>183</v>
      </c>
      <c r="M84" s="768" t="s">
        <v>182</v>
      </c>
      <c r="N84"/>
      <c r="O84" s="794"/>
      <c r="U84" s="97"/>
      <c r="AB84" s="97"/>
      <c r="AC84" s="97"/>
      <c r="AD84" s="97"/>
      <c r="AE84" s="97"/>
      <c r="BE84" s="119"/>
      <c r="BF84" s="119"/>
      <c r="BG84" s="119"/>
      <c r="BH84" s="119"/>
      <c r="BM84" s="197"/>
      <c r="BN84" s="197"/>
      <c r="BO84" s="197"/>
    </row>
    <row r="85" spans="2:67" ht="86.25" customHeight="1" thickBot="1" x14ac:dyDescent="0.35">
      <c r="C85" s="302"/>
      <c r="G85" s="797"/>
      <c r="H85"/>
      <c r="I85"/>
      <c r="J85" s="861" t="s">
        <v>209</v>
      </c>
      <c r="K85" s="854">
        <f>+MIN(J19:K20)</f>
        <v>47.114252061248521</v>
      </c>
      <c r="L85" s="855">
        <f>+$E$20/(BQ25)</f>
        <v>47.114252061248521</v>
      </c>
      <c r="M85" s="855">
        <f>+MIN(K25:L26)</f>
        <v>47.114252061248521</v>
      </c>
      <c r="N85"/>
      <c r="O85" s="794"/>
      <c r="U85" s="97"/>
      <c r="AB85" s="97"/>
      <c r="AC85" s="97"/>
      <c r="AD85" s="97"/>
      <c r="AE85" s="97"/>
      <c r="BE85" s="119"/>
      <c r="BF85" s="119"/>
      <c r="BG85" s="119"/>
      <c r="BH85" s="119"/>
      <c r="BM85" s="197"/>
      <c r="BN85" s="197"/>
      <c r="BO85" s="197"/>
    </row>
    <row r="86" spans="2:67" ht="23" hidden="1" thickBot="1" x14ac:dyDescent="0.35">
      <c r="B86" s="1118"/>
      <c r="C86" s="1118"/>
      <c r="D86" s="1118"/>
      <c r="E86" s="1118"/>
      <c r="G86" s="797"/>
      <c r="H86"/>
      <c r="I86" s="783">
        <v>6</v>
      </c>
      <c r="J86" s="783">
        <v>61</v>
      </c>
      <c r="K86" s="783">
        <v>62</v>
      </c>
      <c r="L86" s="783">
        <v>63</v>
      </c>
      <c r="M86" s="787">
        <v>64</v>
      </c>
      <c r="N86"/>
      <c r="O86" s="794"/>
      <c r="U86" s="97"/>
      <c r="AB86" s="97"/>
      <c r="AC86" s="97"/>
      <c r="AD86" s="97"/>
      <c r="AE86" s="97"/>
      <c r="BE86" s="119"/>
      <c r="BF86" s="119"/>
      <c r="BG86" s="119"/>
      <c r="BH86" s="119"/>
      <c r="BM86" s="197"/>
      <c r="BN86" s="197"/>
      <c r="BO86" s="197"/>
    </row>
    <row r="87" spans="2:67" ht="20" hidden="1" x14ac:dyDescent="0.3">
      <c r="B87" s="278"/>
      <c r="C87" s="306"/>
      <c r="D87" s="278"/>
      <c r="E87" s="278"/>
      <c r="F87" s="300"/>
      <c r="G87" s="797"/>
      <c r="H87"/>
      <c r="I87"/>
      <c r="J87"/>
      <c r="K87"/>
      <c r="L87"/>
      <c r="M87"/>
      <c r="N87"/>
      <c r="O87" s="794"/>
      <c r="U87" s="97"/>
      <c r="AB87" s="97"/>
      <c r="AC87" s="97"/>
      <c r="AD87" s="97"/>
      <c r="AE87" s="97"/>
      <c r="BE87" s="119"/>
      <c r="BF87" s="119"/>
      <c r="BG87" s="119"/>
      <c r="BH87" s="119"/>
      <c r="BM87" s="197"/>
      <c r="BN87" s="197"/>
      <c r="BO87" s="197"/>
    </row>
    <row r="88" spans="2:67" ht="20" hidden="1" x14ac:dyDescent="0.3">
      <c r="B88" s="307"/>
      <c r="C88" s="306"/>
      <c r="D88" s="308"/>
      <c r="E88" s="280"/>
      <c r="F88" s="300"/>
      <c r="G88" s="797"/>
      <c r="H88"/>
      <c r="I88"/>
      <c r="J88"/>
      <c r="K88"/>
      <c r="L88"/>
      <c r="M88"/>
      <c r="N88"/>
      <c r="O88" s="794"/>
      <c r="U88" s="97"/>
      <c r="AB88" s="97"/>
      <c r="AC88" s="97"/>
      <c r="AD88" s="97"/>
      <c r="AE88" s="97"/>
      <c r="BE88" s="119"/>
      <c r="BF88" s="119"/>
      <c r="BG88" s="119"/>
      <c r="BH88" s="119"/>
      <c r="BM88" s="197"/>
      <c r="BN88" s="197"/>
      <c r="BO88" s="197"/>
    </row>
    <row r="89" spans="2:67" ht="20" hidden="1" x14ac:dyDescent="0.3">
      <c r="B89" s="306"/>
      <c r="C89" s="306"/>
      <c r="D89" s="69"/>
      <c r="E89" s="69"/>
      <c r="F89" s="300"/>
      <c r="G89" s="797"/>
      <c r="H89"/>
      <c r="I89"/>
      <c r="J89"/>
      <c r="K89"/>
      <c r="L89"/>
      <c r="M89"/>
      <c r="N89"/>
      <c r="O89" s="794"/>
      <c r="U89" s="97"/>
      <c r="AB89" s="97"/>
      <c r="AC89" s="97"/>
      <c r="AD89" s="97"/>
      <c r="AE89" s="97"/>
      <c r="BE89" s="119"/>
      <c r="BF89" s="119"/>
      <c r="BG89" s="119"/>
      <c r="BH89" s="119"/>
      <c r="BM89" s="197"/>
      <c r="BN89" s="197"/>
      <c r="BO89" s="197"/>
    </row>
    <row r="90" spans="2:67" ht="20" hidden="1" x14ac:dyDescent="0.3">
      <c r="B90" s="278"/>
      <c r="C90" s="306"/>
      <c r="D90" s="278"/>
      <c r="E90" s="13"/>
      <c r="F90" s="300"/>
      <c r="G90" s="797"/>
      <c r="H90"/>
      <c r="I90"/>
      <c r="J90"/>
      <c r="K90"/>
      <c r="L90"/>
      <c r="M90"/>
      <c r="N90"/>
      <c r="O90" s="794"/>
      <c r="U90" s="97"/>
      <c r="AB90" s="97"/>
      <c r="AC90" s="97"/>
      <c r="AD90" s="97"/>
      <c r="AE90" s="97"/>
      <c r="BE90" s="119"/>
      <c r="BF90" s="119"/>
      <c r="BG90" s="119"/>
      <c r="BH90" s="119"/>
      <c r="BM90" s="197"/>
      <c r="BN90" s="197"/>
      <c r="BO90" s="197"/>
    </row>
    <row r="91" spans="2:67" ht="20" hidden="1" x14ac:dyDescent="0.3">
      <c r="B91" s="302"/>
      <c r="C91" s="302"/>
      <c r="F91" s="300"/>
      <c r="G91" s="797"/>
      <c r="H91"/>
      <c r="I91"/>
      <c r="J91"/>
      <c r="K91"/>
      <c r="L91"/>
      <c r="M91"/>
      <c r="N91"/>
      <c r="O91" s="794"/>
      <c r="U91" s="97"/>
      <c r="AB91" s="97"/>
      <c r="AC91" s="97"/>
      <c r="AD91" s="97"/>
      <c r="AE91" s="97"/>
      <c r="BF91" s="119"/>
      <c r="BG91" s="119"/>
      <c r="BH91" s="119"/>
      <c r="BM91" s="197"/>
      <c r="BN91" s="197"/>
      <c r="BO91" s="197"/>
    </row>
    <row r="92" spans="2:67" hidden="1" x14ac:dyDescent="0.2">
      <c r="B92" s="302"/>
      <c r="C92" s="302"/>
      <c r="G92" s="797"/>
      <c r="H92"/>
      <c r="I92"/>
      <c r="J92"/>
      <c r="K92"/>
      <c r="L92"/>
      <c r="M92"/>
      <c r="N92"/>
      <c r="O92" s="794"/>
      <c r="U92" s="97"/>
      <c r="AB92" s="97"/>
      <c r="AC92" s="97"/>
      <c r="AD92" s="97"/>
      <c r="AE92" s="97"/>
      <c r="BE92" s="119"/>
      <c r="BF92" s="119"/>
      <c r="BG92" s="119"/>
      <c r="BH92" s="119"/>
    </row>
    <row r="93" spans="2:67" hidden="1" x14ac:dyDescent="0.2">
      <c r="B93" s="302"/>
      <c r="C93" s="302"/>
      <c r="G93" s="797"/>
      <c r="H93"/>
      <c r="I93"/>
      <c r="J93"/>
      <c r="K93"/>
      <c r="L93"/>
      <c r="M93"/>
      <c r="N93"/>
      <c r="O93" s="794"/>
      <c r="U93" s="97"/>
      <c r="AB93" s="97"/>
      <c r="AC93" s="97"/>
      <c r="AD93" s="97"/>
      <c r="AE93" s="97"/>
      <c r="BF93" s="119"/>
      <c r="BG93" s="119"/>
      <c r="BH93" s="119"/>
    </row>
    <row r="94" spans="2:67" hidden="1" x14ac:dyDescent="0.2">
      <c r="C94" s="97"/>
      <c r="G94" s="797"/>
      <c r="H94"/>
      <c r="I94"/>
      <c r="J94"/>
      <c r="K94"/>
      <c r="L94"/>
      <c r="M94"/>
      <c r="N94"/>
      <c r="O94" s="794"/>
      <c r="U94" s="97"/>
      <c r="AB94" s="97"/>
      <c r="AC94" s="97"/>
      <c r="AD94" s="97"/>
      <c r="AE94" s="97"/>
      <c r="BF94" s="119"/>
      <c r="BG94" s="119"/>
      <c r="BH94" s="119"/>
    </row>
    <row r="95" spans="2:67" hidden="1" x14ac:dyDescent="0.2">
      <c r="B95" s="309"/>
      <c r="C95" s="309"/>
      <c r="D95" s="310"/>
      <c r="E95" s="310"/>
      <c r="F95" s="310"/>
      <c r="G95" s="797"/>
      <c r="H95"/>
      <c r="I95"/>
      <c r="J95"/>
      <c r="K95"/>
      <c r="L95"/>
      <c r="M95"/>
      <c r="N95"/>
      <c r="O95" s="794"/>
      <c r="BE95" s="119"/>
      <c r="BF95" s="119"/>
      <c r="BG95" s="119"/>
      <c r="BH95" s="119"/>
    </row>
    <row r="96" spans="2:67" hidden="1" x14ac:dyDescent="0.2">
      <c r="G96" s="797"/>
      <c r="H96"/>
      <c r="I96"/>
      <c r="J96"/>
      <c r="K96"/>
      <c r="L96"/>
      <c r="M96"/>
      <c r="N96"/>
      <c r="O96" s="794"/>
      <c r="BF96" s="119"/>
      <c r="BG96" s="119"/>
      <c r="BH96" s="119"/>
    </row>
    <row r="97" spans="2:108" hidden="1" x14ac:dyDescent="0.2">
      <c r="B97"/>
      <c r="G97" s="797"/>
      <c r="H97"/>
      <c r="I97"/>
      <c r="J97"/>
      <c r="K97"/>
      <c r="L97"/>
      <c r="M97"/>
      <c r="N97"/>
      <c r="O97" s="794"/>
      <c r="BE97" s="119"/>
      <c r="BF97" s="119"/>
      <c r="BG97" s="119"/>
      <c r="BH97" s="119"/>
    </row>
    <row r="98" spans="2:108" hidden="1" x14ac:dyDescent="0.2">
      <c r="B98" s="309"/>
      <c r="C98" s="309"/>
      <c r="D98" s="310"/>
      <c r="E98" s="310"/>
      <c r="F98" s="310"/>
      <c r="G98" s="797"/>
      <c r="H98"/>
      <c r="I98"/>
      <c r="J98"/>
      <c r="K98"/>
      <c r="L98"/>
      <c r="M98"/>
      <c r="N98"/>
      <c r="O98" s="794"/>
      <c r="BE98" s="119"/>
      <c r="BF98" s="119"/>
      <c r="BG98" s="119"/>
      <c r="BH98" s="119"/>
    </row>
    <row r="99" spans="2:108" hidden="1" x14ac:dyDescent="0.2">
      <c r="B99" s="309"/>
      <c r="C99" s="309"/>
      <c r="D99" s="310"/>
      <c r="E99" s="310"/>
      <c r="F99" s="310"/>
      <c r="G99" s="797"/>
      <c r="H99"/>
      <c r="I99"/>
      <c r="J99"/>
      <c r="K99"/>
      <c r="L99"/>
      <c r="M99"/>
      <c r="N99"/>
      <c r="O99" s="794"/>
      <c r="BE99" s="119"/>
      <c r="BF99" s="119"/>
      <c r="BG99" s="119"/>
      <c r="BH99" s="119"/>
    </row>
    <row r="100" spans="2:108" hidden="1" x14ac:dyDescent="0.2">
      <c r="B100" s="309"/>
      <c r="C100" s="309"/>
      <c r="D100" s="310"/>
      <c r="E100" s="310"/>
      <c r="F100" s="310"/>
      <c r="G100" s="797"/>
      <c r="H100"/>
      <c r="I100"/>
      <c r="J100"/>
      <c r="K100"/>
      <c r="L100"/>
      <c r="M100"/>
      <c r="N100"/>
      <c r="O100" s="794"/>
      <c r="BE100" s="119"/>
      <c r="BF100" s="119"/>
      <c r="BG100" s="119"/>
      <c r="BH100" s="119"/>
    </row>
    <row r="101" spans="2:108" ht="20" hidden="1" x14ac:dyDescent="0.2">
      <c r="B101" s="311"/>
      <c r="E101" s="191"/>
      <c r="F101" s="191"/>
      <c r="G101" s="797"/>
      <c r="H101"/>
      <c r="I101"/>
      <c r="J101"/>
      <c r="K101"/>
      <c r="L101"/>
      <c r="M101"/>
      <c r="N101"/>
      <c r="O101" s="794"/>
      <c r="BE101" s="119"/>
      <c r="BF101" s="119"/>
      <c r="BG101" s="119"/>
      <c r="BH101" s="119"/>
    </row>
    <row r="102" spans="2:108" ht="24" hidden="1" thickBot="1" x14ac:dyDescent="0.3">
      <c r="G102" s="797"/>
      <c r="H102"/>
      <c r="I102"/>
      <c r="J102"/>
      <c r="K102"/>
      <c r="L102"/>
      <c r="M102"/>
      <c r="N102"/>
      <c r="O102" s="794"/>
      <c r="BN102" s="69"/>
      <c r="BO102" s="11"/>
      <c r="BP102" s="79"/>
      <c r="BQ102" s="80"/>
      <c r="BR102" s="80"/>
      <c r="BS102" s="80"/>
      <c r="BT102" s="80"/>
      <c r="BU102" s="80"/>
      <c r="BV102" s="80"/>
      <c r="BW102" s="80"/>
      <c r="BX102" s="80"/>
      <c r="BY102" s="77"/>
      <c r="BZ102" s="77"/>
      <c r="CA102" s="72"/>
      <c r="CB102" s="72"/>
      <c r="CC102" s="72"/>
      <c r="CD102" s="72"/>
      <c r="CE102" s="72"/>
      <c r="CF102" s="72"/>
      <c r="CG102" s="72"/>
      <c r="CH102" s="72"/>
      <c r="CI102" s="72"/>
      <c r="CJ102" s="72"/>
      <c r="CK102" s="72"/>
      <c r="CL102" s="72"/>
      <c r="CM102" s="72"/>
      <c r="CN102" s="26"/>
      <c r="CO102" s="78"/>
      <c r="CP102" s="78"/>
      <c r="CQ102" s="78"/>
      <c r="CR102" s="78"/>
      <c r="CS102" s="75"/>
      <c r="CT102" s="75"/>
      <c r="CU102" s="75"/>
      <c r="CV102" s="75"/>
      <c r="CW102" s="75"/>
      <c r="CX102" s="75"/>
      <c r="CY102" s="75"/>
      <c r="CZ102" s="75"/>
      <c r="DA102" s="75"/>
      <c r="DB102" s="75"/>
      <c r="DC102" s="10"/>
      <c r="DD102" s="62"/>
    </row>
    <row r="103" spans="2:108" ht="24" hidden="1" thickBot="1" x14ac:dyDescent="0.3">
      <c r="G103" s="797"/>
      <c r="H103"/>
      <c r="I103"/>
      <c r="J103"/>
      <c r="K103"/>
      <c r="L103"/>
      <c r="M103"/>
      <c r="N103"/>
      <c r="O103" s="794"/>
      <c r="BN103" s="69"/>
      <c r="BO103" s="11"/>
      <c r="BP103" s="79">
        <v>36</v>
      </c>
      <c r="BQ103" s="80"/>
      <c r="BR103" s="80"/>
      <c r="BS103" s="80"/>
      <c r="BT103" s="80"/>
      <c r="BU103" s="80"/>
      <c r="BV103" s="80"/>
      <c r="BW103" s="80"/>
      <c r="BX103" s="80"/>
      <c r="BY103" s="77"/>
      <c r="BZ103" s="77"/>
      <c r="CA103" s="72"/>
      <c r="CB103" s="72"/>
      <c r="CC103" s="72"/>
      <c r="CD103" s="72"/>
      <c r="CE103" s="72"/>
      <c r="CF103" s="72"/>
      <c r="CG103" s="72"/>
      <c r="CH103" s="81"/>
      <c r="CI103" s="82"/>
      <c r="CJ103" s="83"/>
      <c r="CK103" s="72"/>
      <c r="CL103" s="72"/>
      <c r="CM103" s="72"/>
      <c r="CN103" s="26"/>
      <c r="CO103" s="78"/>
      <c r="CP103" s="78"/>
      <c r="CQ103" s="78"/>
      <c r="CR103" s="78"/>
      <c r="CS103" s="75"/>
      <c r="CT103" s="75"/>
      <c r="CU103" s="75"/>
      <c r="CV103" s="75"/>
      <c r="CW103" s="75"/>
      <c r="CX103" s="75"/>
      <c r="CY103" s="84" t="b">
        <f>IF(CZ57=36,35)</f>
        <v>0</v>
      </c>
      <c r="CZ103" s="85"/>
      <c r="DA103" s="86" t="b">
        <f>IF(CZ57=36,37)</f>
        <v>0</v>
      </c>
      <c r="DB103" s="75"/>
      <c r="DC103" s="10"/>
      <c r="DD103" s="62"/>
    </row>
    <row r="104" spans="2:108" ht="24" hidden="1" thickBot="1" x14ac:dyDescent="0.3">
      <c r="G104" s="797"/>
      <c r="H104"/>
      <c r="I104"/>
      <c r="J104"/>
      <c r="K104"/>
      <c r="L104"/>
      <c r="M104"/>
      <c r="N104"/>
      <c r="O104" s="794"/>
      <c r="BN104" s="69"/>
      <c r="BO104" s="11"/>
      <c r="BP104" s="79">
        <v>35</v>
      </c>
      <c r="BQ104" s="80"/>
      <c r="BR104" s="80"/>
      <c r="BS104" s="80"/>
      <c r="BT104" s="80"/>
      <c r="BU104" s="80"/>
      <c r="BV104" s="80"/>
      <c r="BW104" s="80"/>
      <c r="BX104" s="80"/>
      <c r="BY104" s="77"/>
      <c r="BZ104" s="77"/>
      <c r="CA104" s="72"/>
      <c r="CB104" s="72"/>
      <c r="CC104" s="72"/>
      <c r="CD104" s="72"/>
      <c r="CE104" s="72"/>
      <c r="CF104" s="72"/>
      <c r="CG104" s="72"/>
      <c r="CH104" s="87"/>
      <c r="CI104" s="72"/>
      <c r="CJ104" s="88"/>
      <c r="CK104" s="72"/>
      <c r="CL104" s="72"/>
      <c r="CM104" s="72"/>
      <c r="CN104" s="26"/>
      <c r="CO104" s="78"/>
      <c r="CP104" s="78"/>
      <c r="CQ104" s="78"/>
      <c r="CR104" s="78"/>
      <c r="CS104" s="75"/>
      <c r="CT104" s="75"/>
      <c r="CU104" s="75"/>
      <c r="CV104" s="75"/>
      <c r="CW104" s="84" t="b">
        <f>IF(CY57=35,33)</f>
        <v>0</v>
      </c>
      <c r="CX104" s="85"/>
      <c r="CY104" s="85"/>
      <c r="CZ104" s="85"/>
      <c r="DA104" s="86" t="b">
        <f>IF(CY57=35,37)</f>
        <v>0</v>
      </c>
      <c r="DB104" s="75"/>
      <c r="DC104" s="10"/>
      <c r="DD104" s="62"/>
    </row>
    <row r="105" spans="2:108" ht="24" hidden="1" thickBot="1" x14ac:dyDescent="0.3">
      <c r="G105" s="797"/>
      <c r="H105"/>
      <c r="I105"/>
      <c r="J105"/>
      <c r="K105"/>
      <c r="L105"/>
      <c r="M105"/>
      <c r="N105"/>
      <c r="O105" s="794"/>
      <c r="BN105" s="69"/>
      <c r="BO105" s="11"/>
      <c r="BP105" s="79">
        <v>34</v>
      </c>
      <c r="BQ105" s="80"/>
      <c r="BR105" s="80"/>
      <c r="BS105" s="80"/>
      <c r="BT105" s="80"/>
      <c r="BU105" s="80"/>
      <c r="BV105" s="80"/>
      <c r="BW105" s="80"/>
      <c r="BX105" s="80"/>
      <c r="BY105" s="77"/>
      <c r="BZ105" s="77"/>
      <c r="CA105" s="72"/>
      <c r="CB105" s="72"/>
      <c r="CC105" s="72"/>
      <c r="CD105" s="72"/>
      <c r="CE105" s="72"/>
      <c r="CF105" s="72"/>
      <c r="CG105" s="72"/>
      <c r="CH105" s="87"/>
      <c r="CI105" s="72"/>
      <c r="CJ105" s="88"/>
      <c r="CK105" s="72"/>
      <c r="CL105" s="72"/>
      <c r="CM105" s="72"/>
      <c r="CN105" s="26"/>
      <c r="CO105" s="78"/>
      <c r="CP105" s="78"/>
      <c r="CQ105" s="78"/>
      <c r="CR105" s="78"/>
      <c r="CS105" s="75"/>
      <c r="CT105" s="75"/>
      <c r="CU105" s="84" t="b">
        <f>IF(CX57=34,31)</f>
        <v>0</v>
      </c>
      <c r="CV105" s="85"/>
      <c r="CW105" s="85"/>
      <c r="CX105" s="85"/>
      <c r="CY105" s="85"/>
      <c r="CZ105" s="85"/>
      <c r="DA105" s="86" t="b">
        <f>IF(CX57=34,37)</f>
        <v>0</v>
      </c>
      <c r="DB105" s="75"/>
      <c r="DC105" s="10"/>
      <c r="DD105" s="62"/>
    </row>
    <row r="106" spans="2:108" ht="24" hidden="1" thickBot="1" x14ac:dyDescent="0.3">
      <c r="G106" s="797"/>
      <c r="H106"/>
      <c r="I106"/>
      <c r="J106"/>
      <c r="K106"/>
      <c r="L106"/>
      <c r="M106"/>
      <c r="N106"/>
      <c r="O106" s="794"/>
      <c r="BN106" s="69"/>
      <c r="BO106" s="11"/>
      <c r="BP106" s="79">
        <v>33</v>
      </c>
      <c r="BQ106" s="80"/>
      <c r="BR106" s="80"/>
      <c r="BS106" s="80"/>
      <c r="BT106" s="80"/>
      <c r="BU106" s="80"/>
      <c r="BV106" s="80"/>
      <c r="BW106" s="80"/>
      <c r="BX106" s="80"/>
      <c r="BY106" s="77"/>
      <c r="BZ106" s="77"/>
      <c r="CA106" s="72"/>
      <c r="CB106" s="72"/>
      <c r="CC106" s="72"/>
      <c r="CD106" s="72"/>
      <c r="CE106" s="72"/>
      <c r="CF106" s="72"/>
      <c r="CG106" s="72"/>
      <c r="CH106" s="87"/>
      <c r="CI106" s="72"/>
      <c r="CJ106" s="88"/>
      <c r="CK106" s="72"/>
      <c r="CL106" s="72"/>
      <c r="CM106" s="72"/>
      <c r="CN106" s="26"/>
      <c r="CO106" s="78"/>
      <c r="CP106" s="78"/>
      <c r="CQ106" s="78"/>
      <c r="CR106" s="78"/>
      <c r="CS106" s="84" t="b">
        <f>IF(CW57=33,29)</f>
        <v>0</v>
      </c>
      <c r="CT106" s="85"/>
      <c r="CU106" s="85"/>
      <c r="CV106" s="85"/>
      <c r="CW106" s="85"/>
      <c r="CX106" s="85"/>
      <c r="CY106" s="85"/>
      <c r="CZ106" s="85"/>
      <c r="DA106" s="86" t="b">
        <f>IF(CW57=33,37)</f>
        <v>0</v>
      </c>
      <c r="DB106" s="75"/>
      <c r="DC106" s="10"/>
      <c r="DD106" s="62"/>
    </row>
    <row r="107" spans="2:108" ht="21" hidden="1" thickBot="1" x14ac:dyDescent="0.25">
      <c r="G107" s="797"/>
      <c r="H107"/>
      <c r="I107"/>
      <c r="J107"/>
      <c r="K107"/>
      <c r="L107"/>
      <c r="M107"/>
      <c r="N107"/>
      <c r="O107" s="794"/>
      <c r="BN107" s="69"/>
      <c r="BP107" s="79">
        <v>32</v>
      </c>
      <c r="BQ107" s="90"/>
      <c r="BR107" s="90"/>
      <c r="BS107" s="90"/>
      <c r="BT107" s="90"/>
      <c r="BU107" s="90"/>
      <c r="BV107" s="91"/>
      <c r="BW107" s="90"/>
      <c r="BX107" s="90"/>
      <c r="BY107" s="90"/>
      <c r="BZ107" s="90"/>
      <c r="CA107" s="90"/>
      <c r="CB107" s="90"/>
      <c r="CC107" s="90"/>
      <c r="CD107" s="90"/>
      <c r="CE107" s="90"/>
      <c r="CF107" s="90"/>
      <c r="CG107" s="90"/>
      <c r="CH107" s="92"/>
      <c r="CI107" s="90"/>
      <c r="CJ107" s="93"/>
      <c r="CK107" s="90"/>
      <c r="CL107" s="90"/>
      <c r="CM107" s="90"/>
      <c r="CN107" s="91"/>
      <c r="CO107" s="62"/>
      <c r="CP107" s="62"/>
      <c r="CQ107" s="84" t="b">
        <f>IF(CV57=32,27)</f>
        <v>0</v>
      </c>
      <c r="CR107" s="94"/>
      <c r="CS107" s="94"/>
      <c r="CT107" s="94"/>
      <c r="CU107" s="94"/>
      <c r="CV107" s="94"/>
      <c r="CW107" s="94"/>
      <c r="CX107" s="94"/>
      <c r="CY107" s="94"/>
      <c r="CZ107" s="94"/>
      <c r="DA107" s="86" t="b">
        <f>IF(CV57=32,37)</f>
        <v>0</v>
      </c>
      <c r="DB107" s="62"/>
      <c r="DC107" s="62"/>
      <c r="DD107" s="62"/>
    </row>
    <row r="108" spans="2:108" ht="21" hidden="1" thickBot="1" x14ac:dyDescent="0.25">
      <c r="G108" s="797"/>
      <c r="H108"/>
      <c r="I108"/>
      <c r="J108"/>
      <c r="K108"/>
      <c r="L108"/>
      <c r="M108"/>
      <c r="N108"/>
      <c r="O108" s="794"/>
      <c r="BN108" s="69"/>
      <c r="BP108" s="79">
        <v>31</v>
      </c>
      <c r="BQ108" s="90"/>
      <c r="BR108" s="90"/>
      <c r="BS108" s="90"/>
      <c r="BT108" s="90"/>
      <c r="BU108" s="90"/>
      <c r="BV108" s="91"/>
      <c r="BW108" s="90"/>
      <c r="BX108" s="90"/>
      <c r="BY108" s="90"/>
      <c r="BZ108" s="90"/>
      <c r="CA108" s="90"/>
      <c r="CB108" s="90"/>
      <c r="CC108" s="90"/>
      <c r="CD108" s="90"/>
      <c r="CE108" s="90"/>
      <c r="CF108" s="90"/>
      <c r="CG108" s="90"/>
      <c r="CH108" s="92"/>
      <c r="CI108" s="90"/>
      <c r="CJ108" s="93"/>
      <c r="CK108" s="90"/>
      <c r="CL108" s="90"/>
      <c r="CM108" s="90"/>
      <c r="CN108" s="91"/>
      <c r="CO108" s="84" t="b">
        <f>IF(CU57=31,25)</f>
        <v>0</v>
      </c>
      <c r="CP108" s="94"/>
      <c r="CQ108" s="94"/>
      <c r="CR108" s="94"/>
      <c r="CS108" s="94"/>
      <c r="CT108" s="94"/>
      <c r="CU108" s="94"/>
      <c r="CV108" s="94"/>
      <c r="CW108" s="94"/>
      <c r="CX108" s="94"/>
      <c r="CY108" s="94"/>
      <c r="CZ108" s="94"/>
      <c r="DA108" s="86" t="b">
        <f>IF(CU57=31,37)</f>
        <v>0</v>
      </c>
      <c r="DB108" s="62"/>
      <c r="DC108" s="62"/>
      <c r="DD108" s="62"/>
    </row>
    <row r="109" spans="2:108" ht="21" hidden="1" thickBot="1" x14ac:dyDescent="0.25">
      <c r="G109" s="797"/>
      <c r="H109"/>
      <c r="I109"/>
      <c r="J109"/>
      <c r="K109"/>
      <c r="L109"/>
      <c r="M109"/>
      <c r="N109"/>
      <c r="O109" s="794"/>
      <c r="BN109" s="69"/>
      <c r="BP109" s="79">
        <v>30</v>
      </c>
      <c r="BQ109" s="90"/>
      <c r="BR109" s="90"/>
      <c r="BS109" s="90"/>
      <c r="BT109" s="90"/>
      <c r="BU109" s="90"/>
      <c r="BV109" s="91"/>
      <c r="BW109" s="90"/>
      <c r="BX109" s="90"/>
      <c r="BY109" s="90"/>
      <c r="BZ109" s="90"/>
      <c r="CA109" s="90"/>
      <c r="CB109" s="90"/>
      <c r="CC109" s="90"/>
      <c r="CD109" s="90"/>
      <c r="CE109" s="90"/>
      <c r="CF109" s="90"/>
      <c r="CG109" s="90"/>
      <c r="CH109" s="92"/>
      <c r="CI109" s="90"/>
      <c r="CJ109" s="93"/>
      <c r="CK109" s="90"/>
      <c r="CL109" s="90"/>
      <c r="CM109" s="84" t="b">
        <f>IF(CT57=30,23)</f>
        <v>0</v>
      </c>
      <c r="CN109" s="95"/>
      <c r="CO109" s="94"/>
      <c r="CP109" s="94"/>
      <c r="CQ109" s="94"/>
      <c r="CR109" s="94"/>
      <c r="CS109" s="94"/>
      <c r="CT109" s="94"/>
      <c r="CU109" s="94"/>
      <c r="CV109" s="94"/>
      <c r="CW109" s="94"/>
      <c r="CX109" s="94"/>
      <c r="CY109" s="94"/>
      <c r="CZ109" s="94"/>
      <c r="DA109" s="86" t="b">
        <f>IF(CT57=30,37)</f>
        <v>0</v>
      </c>
      <c r="DB109" s="62"/>
      <c r="DC109" s="62"/>
      <c r="DD109" s="62"/>
    </row>
    <row r="110" spans="2:108" ht="21" hidden="1" thickBot="1" x14ac:dyDescent="0.25">
      <c r="G110" s="797"/>
      <c r="H110"/>
      <c r="I110"/>
      <c r="J110"/>
      <c r="K110"/>
      <c r="L110"/>
      <c r="M110"/>
      <c r="N110"/>
      <c r="O110" s="794"/>
      <c r="BN110" s="69"/>
      <c r="BO110" s="97"/>
      <c r="BP110" s="79">
        <v>29</v>
      </c>
      <c r="BQ110" s="62"/>
      <c r="BR110" s="62"/>
      <c r="BS110" s="62"/>
      <c r="BT110" s="62"/>
      <c r="BU110" s="62"/>
      <c r="BV110" s="62"/>
      <c r="BW110" s="62"/>
      <c r="BX110" s="62"/>
      <c r="BY110" s="62"/>
      <c r="BZ110" s="62"/>
      <c r="CA110" s="62"/>
      <c r="CB110" s="62"/>
      <c r="CC110" s="62"/>
      <c r="CD110" s="62"/>
      <c r="CE110" s="62"/>
      <c r="CF110" s="62"/>
      <c r="CG110" s="62"/>
      <c r="CH110" s="98"/>
      <c r="CI110" s="62"/>
      <c r="CJ110" s="99"/>
      <c r="CK110" s="100" t="b">
        <f>IF(CS57=29,21)</f>
        <v>0</v>
      </c>
      <c r="CL110" s="94"/>
      <c r="CM110" s="94"/>
      <c r="CN110" s="94"/>
      <c r="CO110" s="94"/>
      <c r="CP110" s="94"/>
      <c r="CQ110" s="94"/>
      <c r="CR110" s="101"/>
      <c r="CS110" s="94"/>
      <c r="CT110" s="101"/>
      <c r="CU110" s="102"/>
      <c r="CV110" s="102"/>
      <c r="CW110" s="102"/>
      <c r="CX110" s="102"/>
      <c r="CY110" s="102"/>
      <c r="CZ110" s="102"/>
      <c r="DA110" s="86" t="b">
        <f>IF(CS57=29,37)</f>
        <v>0</v>
      </c>
      <c r="DB110" s="60"/>
      <c r="DC110" s="62"/>
      <c r="DD110" s="62"/>
    </row>
    <row r="111" spans="2:108" ht="21" hidden="1" thickBot="1" x14ac:dyDescent="0.25">
      <c r="G111" s="797"/>
      <c r="H111"/>
      <c r="I111"/>
      <c r="J111"/>
      <c r="K111"/>
      <c r="L111"/>
      <c r="M111"/>
      <c r="N111"/>
      <c r="O111" s="794"/>
      <c r="BN111" s="69"/>
      <c r="BO111" s="97"/>
      <c r="BP111" s="79">
        <v>28</v>
      </c>
      <c r="BQ111" s="62"/>
      <c r="BR111" s="62"/>
      <c r="BS111" s="62"/>
      <c r="BT111" s="62"/>
      <c r="BU111" s="62"/>
      <c r="BV111" s="62"/>
      <c r="BW111" s="62"/>
      <c r="BX111" s="62"/>
      <c r="BY111" s="62"/>
      <c r="BZ111" s="62"/>
      <c r="CA111" s="62"/>
      <c r="CB111" s="62"/>
      <c r="CC111" s="62"/>
      <c r="CD111" s="62"/>
      <c r="CE111" s="62"/>
      <c r="CF111" s="62"/>
      <c r="CG111" s="62"/>
      <c r="CH111" s="98"/>
      <c r="CI111" s="62"/>
      <c r="CJ111" s="99"/>
      <c r="CK111" s="103" t="b">
        <f>IF(CR57=28,21)</f>
        <v>0</v>
      </c>
      <c r="CL111" s="104"/>
      <c r="CM111" s="104"/>
      <c r="CN111" s="104"/>
      <c r="CO111" s="104"/>
      <c r="CP111" s="105"/>
      <c r="CQ111" s="104"/>
      <c r="CR111" s="104"/>
      <c r="CS111" s="104"/>
      <c r="CT111" s="105"/>
      <c r="CU111" s="106"/>
      <c r="CV111" s="106"/>
      <c r="CW111" s="106"/>
      <c r="CX111" s="106"/>
      <c r="CY111" s="107" t="b">
        <f>IF(CR57=28,35)</f>
        <v>0</v>
      </c>
      <c r="CZ111" s="60"/>
      <c r="DA111" s="60"/>
      <c r="DB111" s="60"/>
      <c r="DC111" s="62"/>
      <c r="DD111" s="62"/>
    </row>
    <row r="112" spans="2:108" ht="21" hidden="1" thickBot="1" x14ac:dyDescent="0.25">
      <c r="G112" s="797"/>
      <c r="H112"/>
      <c r="I112"/>
      <c r="J112"/>
      <c r="K112"/>
      <c r="L112"/>
      <c r="M112"/>
      <c r="N112"/>
      <c r="O112" s="794"/>
      <c r="BN112" s="69"/>
      <c r="BO112" s="97"/>
      <c r="BP112" s="79">
        <v>27</v>
      </c>
      <c r="BQ112" s="62"/>
      <c r="BR112" s="62"/>
      <c r="BS112" s="62"/>
      <c r="BT112" s="62"/>
      <c r="BU112" s="62"/>
      <c r="BV112" s="62"/>
      <c r="BW112" s="62"/>
      <c r="BX112" s="62"/>
      <c r="BY112" s="62"/>
      <c r="BZ112" s="62"/>
      <c r="CA112" s="62"/>
      <c r="CB112" s="62"/>
      <c r="CC112" s="62"/>
      <c r="CD112" s="62"/>
      <c r="CE112" s="62"/>
      <c r="CF112" s="62"/>
      <c r="CG112" s="62"/>
      <c r="CH112" s="98"/>
      <c r="CI112" s="62"/>
      <c r="CJ112" s="99"/>
      <c r="CK112" s="103" t="b">
        <f>IF(CQ57=27,21)</f>
        <v>0</v>
      </c>
      <c r="CL112" s="104"/>
      <c r="CM112" s="104"/>
      <c r="CN112" s="105"/>
      <c r="CO112" s="104"/>
      <c r="CP112" s="104"/>
      <c r="CQ112" s="104"/>
      <c r="CR112" s="104"/>
      <c r="CS112" s="104"/>
      <c r="CT112" s="105"/>
      <c r="CU112" s="106"/>
      <c r="CV112" s="106"/>
      <c r="CW112" s="107" t="b">
        <f>IF(CQ57=27,33)</f>
        <v>0</v>
      </c>
      <c r="CX112" s="60"/>
      <c r="CY112" s="60"/>
      <c r="CZ112" s="60"/>
      <c r="DA112" s="60"/>
      <c r="DB112" s="60"/>
      <c r="DC112" s="62"/>
      <c r="DD112" s="62"/>
    </row>
    <row r="113" spans="7:143" ht="21" hidden="1" thickBot="1" x14ac:dyDescent="0.25">
      <c r="G113" s="797"/>
      <c r="H113"/>
      <c r="I113"/>
      <c r="J113"/>
      <c r="K113"/>
      <c r="L113"/>
      <c r="M113"/>
      <c r="N113"/>
      <c r="O113" s="794"/>
      <c r="BN113" s="69"/>
      <c r="BP113" s="79">
        <v>26</v>
      </c>
      <c r="BQ113" s="62"/>
      <c r="BR113" s="62"/>
      <c r="BS113" s="62"/>
      <c r="BT113" s="62"/>
      <c r="BU113" s="62"/>
      <c r="BV113" s="62"/>
      <c r="BW113" s="62"/>
      <c r="BX113" s="62"/>
      <c r="BY113" s="62"/>
      <c r="BZ113" s="62"/>
      <c r="CA113" s="62"/>
      <c r="CB113" s="62"/>
      <c r="CC113" s="62"/>
      <c r="CD113" s="62"/>
      <c r="CE113" s="62"/>
      <c r="CF113" s="62"/>
      <c r="CG113" s="62"/>
      <c r="CH113" s="98"/>
      <c r="CI113" s="62"/>
      <c r="CJ113" s="99"/>
      <c r="CK113" s="103" t="b">
        <f>IF(CP57=26,21)</f>
        <v>0</v>
      </c>
      <c r="CL113" s="105"/>
      <c r="CM113" s="104"/>
      <c r="CN113" s="104"/>
      <c r="CO113" s="104"/>
      <c r="CP113" s="104"/>
      <c r="CQ113" s="104"/>
      <c r="CR113" s="104"/>
      <c r="CS113" s="104"/>
      <c r="CT113" s="105"/>
      <c r="CU113" s="107" t="b">
        <f>IF(CP57=26,31)</f>
        <v>0</v>
      </c>
      <c r="CV113" s="60"/>
      <c r="CW113" s="60"/>
      <c r="CX113" s="60"/>
      <c r="CY113" s="60"/>
      <c r="CZ113" s="60"/>
      <c r="DA113" s="60"/>
      <c r="DB113" s="60"/>
      <c r="DC113" s="62"/>
      <c r="DD113" s="62"/>
    </row>
    <row r="114" spans="7:143" ht="21" hidden="1" thickBot="1" x14ac:dyDescent="0.25">
      <c r="G114" s="797"/>
      <c r="H114"/>
      <c r="I114"/>
      <c r="J114"/>
      <c r="K114"/>
      <c r="L114"/>
      <c r="M114"/>
      <c r="N114"/>
      <c r="O114" s="794"/>
      <c r="BN114" s="69"/>
      <c r="BO114" s="109"/>
      <c r="BP114" s="79">
        <v>25</v>
      </c>
      <c r="BQ114" s="62"/>
      <c r="BR114" s="62"/>
      <c r="BS114" s="62"/>
      <c r="BT114" s="62"/>
      <c r="BU114" s="62"/>
      <c r="BV114" s="62"/>
      <c r="BW114" s="62"/>
      <c r="BX114" s="62"/>
      <c r="BY114" s="62"/>
      <c r="BZ114" s="62"/>
      <c r="CA114" s="62"/>
      <c r="CC114" s="62"/>
      <c r="CD114" s="62"/>
      <c r="CE114" s="62"/>
      <c r="CF114" s="62"/>
      <c r="CG114" s="62"/>
      <c r="CH114" s="98"/>
      <c r="CI114" s="62"/>
      <c r="CK114" s="111" t="b">
        <f>IF(CO57=25,21)</f>
        <v>0</v>
      </c>
      <c r="CL114" s="104"/>
      <c r="CM114" s="104"/>
      <c r="CN114" s="104"/>
      <c r="CO114" s="104"/>
      <c r="CP114" s="104"/>
      <c r="CQ114" s="104"/>
      <c r="CR114" s="104"/>
      <c r="CS114" s="107" t="b">
        <f>IF(CO57=25,29)</f>
        <v>0</v>
      </c>
      <c r="CU114" s="60"/>
      <c r="CV114" s="60"/>
      <c r="CW114" s="60"/>
      <c r="CX114" s="60"/>
      <c r="CY114" s="60"/>
      <c r="CZ114" s="60"/>
      <c r="DA114" s="60"/>
      <c r="DB114" s="60"/>
      <c r="DC114" s="62"/>
      <c r="DD114" s="62"/>
    </row>
    <row r="115" spans="7:143" ht="21" hidden="1" thickBot="1" x14ac:dyDescent="0.25">
      <c r="G115" s="797"/>
      <c r="H115"/>
      <c r="I115"/>
      <c r="J115"/>
      <c r="K115"/>
      <c r="L115"/>
      <c r="M115"/>
      <c r="N115"/>
      <c r="O115" s="794"/>
      <c r="BN115" s="69"/>
      <c r="BO115" s="109"/>
      <c r="BP115" s="79">
        <v>24</v>
      </c>
      <c r="BQ115" s="62"/>
      <c r="BR115" s="62"/>
      <c r="BS115" s="62"/>
      <c r="BT115" s="62"/>
      <c r="BU115" s="62"/>
      <c r="BV115" s="62"/>
      <c r="BW115" s="62"/>
      <c r="BX115" s="62"/>
      <c r="BY115" s="62"/>
      <c r="BZ115" s="62"/>
      <c r="CA115" s="62"/>
      <c r="CB115" s="100" t="b">
        <f>IF(CN57=24,12)</f>
        <v>0</v>
      </c>
      <c r="CC115" s="94"/>
      <c r="CD115" s="94"/>
      <c r="CE115" s="94"/>
      <c r="CF115" s="94"/>
      <c r="CG115" s="94"/>
      <c r="CH115" s="101"/>
      <c r="CI115" s="94"/>
      <c r="CJ115" s="112"/>
      <c r="CK115" s="94"/>
      <c r="CL115" s="94"/>
      <c r="CM115" s="94"/>
      <c r="CN115" s="94"/>
      <c r="CO115" s="94"/>
      <c r="CP115" s="94"/>
      <c r="CQ115" s="94"/>
      <c r="CR115" s="94"/>
      <c r="CS115" s="94"/>
      <c r="CT115" s="101"/>
      <c r="CU115" s="102"/>
      <c r="CV115" s="102"/>
      <c r="CW115" s="102"/>
      <c r="CX115" s="102"/>
      <c r="CY115" s="102"/>
      <c r="CZ115" s="86" t="b">
        <f>IF(CN57=24,36)</f>
        <v>0</v>
      </c>
      <c r="DA115" s="60"/>
      <c r="DB115" s="60"/>
      <c r="DC115" s="62"/>
      <c r="DD115" s="62"/>
    </row>
    <row r="116" spans="7:143" ht="21" hidden="1" thickBot="1" x14ac:dyDescent="0.25">
      <c r="G116" s="797"/>
      <c r="H116"/>
      <c r="I116"/>
      <c r="J116"/>
      <c r="K116"/>
      <c r="L116"/>
      <c r="M116"/>
      <c r="N116"/>
      <c r="O116" s="794"/>
      <c r="BN116" s="69"/>
      <c r="BO116" s="109"/>
      <c r="BP116" s="79">
        <v>23</v>
      </c>
      <c r="BQ116" s="62"/>
      <c r="BR116" s="62"/>
      <c r="BS116" s="62"/>
      <c r="BT116" s="62"/>
      <c r="BU116" s="62"/>
      <c r="BV116" s="62"/>
      <c r="BW116" s="62"/>
      <c r="BX116" s="62"/>
      <c r="BY116" s="62"/>
      <c r="BZ116" s="62"/>
      <c r="CA116" s="62"/>
      <c r="CB116" s="103" t="b">
        <f>IF(CM57=23,12)</f>
        <v>0</v>
      </c>
      <c r="CC116" s="104"/>
      <c r="CD116" s="104"/>
      <c r="CE116" s="104"/>
      <c r="CF116" s="105"/>
      <c r="CG116" s="104"/>
      <c r="CH116" s="115"/>
      <c r="CI116" s="104"/>
      <c r="CJ116" s="116"/>
      <c r="CK116" s="104"/>
      <c r="CL116" s="104"/>
      <c r="CM116" s="104"/>
      <c r="CN116" s="104"/>
      <c r="CO116" s="104"/>
      <c r="CP116" s="104"/>
      <c r="CQ116" s="104"/>
      <c r="CR116" s="104"/>
      <c r="CS116" s="104"/>
      <c r="CT116" s="105"/>
      <c r="CU116" s="106"/>
      <c r="CV116" s="106"/>
      <c r="CW116" s="106"/>
      <c r="CX116" s="107" t="b">
        <f>IF(CM57=23,34)</f>
        <v>0</v>
      </c>
      <c r="CY116" s="60"/>
      <c r="CZ116" s="60"/>
      <c r="DA116" s="60"/>
      <c r="DB116" s="60"/>
      <c r="DC116" s="62"/>
      <c r="DD116" s="62"/>
    </row>
    <row r="117" spans="7:143" ht="21" hidden="1" thickBot="1" x14ac:dyDescent="0.25">
      <c r="G117" s="797"/>
      <c r="H117"/>
      <c r="I117"/>
      <c r="J117"/>
      <c r="K117"/>
      <c r="L117"/>
      <c r="M117"/>
      <c r="N117"/>
      <c r="O117" s="794"/>
      <c r="BN117" s="69"/>
      <c r="BO117" s="109"/>
      <c r="BP117" s="79">
        <v>22</v>
      </c>
      <c r="BQ117" s="60"/>
      <c r="BR117" s="60"/>
      <c r="BS117" s="60"/>
      <c r="BT117" s="60"/>
      <c r="BU117" s="60"/>
      <c r="BV117" s="60"/>
      <c r="BW117" s="60"/>
      <c r="BX117" s="60"/>
      <c r="BY117" s="60"/>
      <c r="BZ117" s="60"/>
      <c r="CA117" s="60"/>
      <c r="CB117" s="103" t="b">
        <f>IF(CL57=22,12)</f>
        <v>0</v>
      </c>
      <c r="CC117" s="106"/>
      <c r="CD117" s="106"/>
      <c r="CE117" s="106"/>
      <c r="CF117" s="105"/>
      <c r="CG117" s="106"/>
      <c r="CH117" s="117"/>
      <c r="CI117" s="106"/>
      <c r="CJ117" s="118"/>
      <c r="CK117" s="106"/>
      <c r="CL117" s="106"/>
      <c r="CM117" s="106"/>
      <c r="CN117" s="106"/>
      <c r="CO117" s="104"/>
      <c r="CP117" s="104"/>
      <c r="CQ117" s="105"/>
      <c r="CR117" s="104"/>
      <c r="CS117" s="104"/>
      <c r="CT117" s="104"/>
      <c r="CU117" s="104"/>
      <c r="CV117" s="107" t="b">
        <f>IF(CL57=22,32)</f>
        <v>0</v>
      </c>
      <c r="CW117" s="62"/>
      <c r="CX117" s="62"/>
      <c r="CY117" s="62"/>
      <c r="CZ117" s="62"/>
      <c r="DA117" s="62"/>
      <c r="DB117" s="62"/>
      <c r="DC117" s="62"/>
      <c r="DD117" s="62"/>
    </row>
    <row r="118" spans="7:143" ht="21" hidden="1" thickBot="1" x14ac:dyDescent="0.25">
      <c r="G118" s="797"/>
      <c r="H118"/>
      <c r="I118"/>
      <c r="J118"/>
      <c r="K118"/>
      <c r="L118"/>
      <c r="M118"/>
      <c r="N118"/>
      <c r="O118" s="794"/>
      <c r="BN118" s="69"/>
      <c r="BO118" s="109"/>
      <c r="BP118" s="79">
        <v>21</v>
      </c>
      <c r="BQ118" s="62"/>
      <c r="BR118" s="62"/>
      <c r="BS118" s="62"/>
      <c r="BT118" s="62"/>
      <c r="BU118" s="62"/>
      <c r="BV118" s="62"/>
      <c r="BW118" s="62"/>
      <c r="BX118" s="62"/>
      <c r="BY118" s="62"/>
      <c r="BZ118" s="62"/>
      <c r="CA118" s="62"/>
      <c r="CB118" s="103" t="b">
        <f>IF(CK57=21,12)</f>
        <v>0</v>
      </c>
      <c r="CC118" s="104"/>
      <c r="CD118" s="104"/>
      <c r="CE118" s="104"/>
      <c r="CF118" s="104"/>
      <c r="CG118" s="104"/>
      <c r="CH118" s="115"/>
      <c r="CI118" s="104"/>
      <c r="CJ118" s="116"/>
      <c r="CK118" s="104"/>
      <c r="CL118" s="104"/>
      <c r="CM118" s="104"/>
      <c r="CN118" s="104"/>
      <c r="CO118" s="104"/>
      <c r="CP118" s="104"/>
      <c r="CQ118" s="104"/>
      <c r="CR118" s="104"/>
      <c r="CS118" s="104"/>
      <c r="CT118" s="107" t="b">
        <f>IF(CK57=21,30)</f>
        <v>0</v>
      </c>
      <c r="CU118" s="60"/>
      <c r="CV118" s="60"/>
      <c r="CW118" s="60"/>
      <c r="CX118" s="60"/>
      <c r="CY118" s="60"/>
      <c r="CZ118" s="60"/>
      <c r="DA118" s="60"/>
      <c r="DB118" s="60"/>
      <c r="DC118" s="62"/>
      <c r="DD118" s="62"/>
    </row>
    <row r="119" spans="7:143" ht="21" hidden="1" thickBot="1" x14ac:dyDescent="0.25">
      <c r="G119" s="797"/>
      <c r="H119"/>
      <c r="I119"/>
      <c r="J119"/>
      <c r="K119"/>
      <c r="L119"/>
      <c r="M119"/>
      <c r="N119"/>
      <c r="O119" s="794"/>
      <c r="BN119" s="69"/>
      <c r="BO119" s="863"/>
      <c r="BP119" s="79">
        <v>20</v>
      </c>
      <c r="BQ119" s="62"/>
      <c r="BR119" s="62"/>
      <c r="BS119" s="62"/>
      <c r="BT119" s="62"/>
      <c r="BU119" s="62"/>
      <c r="BV119" s="62"/>
      <c r="BW119" s="62"/>
      <c r="BX119" s="62"/>
      <c r="CA119" s="120"/>
      <c r="CB119" s="100" t="b">
        <f>IF(CJ57=20,12)</f>
        <v>0</v>
      </c>
      <c r="CC119" s="94"/>
      <c r="CD119" s="94"/>
      <c r="CE119" s="94"/>
      <c r="CF119" s="94"/>
      <c r="CG119" s="94"/>
      <c r="CH119" s="121"/>
      <c r="CI119" s="94"/>
      <c r="CJ119" s="112"/>
      <c r="CK119" s="94"/>
      <c r="CL119" s="94"/>
      <c r="CM119" s="94"/>
      <c r="CN119" s="94"/>
      <c r="CO119" s="94"/>
      <c r="CP119" s="94"/>
      <c r="CQ119" s="94"/>
      <c r="CR119" s="86" t="b">
        <f>IF(CJ57=20,28)</f>
        <v>0</v>
      </c>
      <c r="CS119" s="120"/>
      <c r="CU119" s="60"/>
      <c r="CV119" s="60"/>
      <c r="CW119" s="60"/>
      <c r="CX119" s="60"/>
      <c r="CY119" s="60"/>
      <c r="CZ119" s="60"/>
      <c r="DA119" s="60"/>
      <c r="DB119" s="60"/>
      <c r="DC119" s="62"/>
      <c r="DD119" s="62"/>
    </row>
    <row r="120" spans="7:143" ht="21" hidden="1" thickBot="1" x14ac:dyDescent="0.25">
      <c r="G120" s="797"/>
      <c r="H120"/>
      <c r="I120"/>
      <c r="J120"/>
      <c r="K120"/>
      <c r="L120"/>
      <c r="M120"/>
      <c r="N120"/>
      <c r="O120" s="794"/>
      <c r="BN120" s="69"/>
      <c r="BO120" s="863"/>
      <c r="BP120" s="79">
        <v>19</v>
      </c>
      <c r="BQ120" s="62"/>
      <c r="BR120" s="62"/>
      <c r="BS120" s="62"/>
      <c r="BT120" s="62"/>
      <c r="BU120" s="62"/>
      <c r="BV120" s="62"/>
      <c r="BW120" s="62"/>
      <c r="BX120" s="62"/>
      <c r="BZ120" s="122"/>
      <c r="CA120" s="122"/>
      <c r="CB120" s="100" t="b">
        <f>IF(CI57=19,12)</f>
        <v>0</v>
      </c>
      <c r="CC120" s="102"/>
      <c r="CD120" s="102"/>
      <c r="CE120" s="101"/>
      <c r="CF120" s="102"/>
      <c r="CG120" s="102"/>
      <c r="CH120" s="123"/>
      <c r="CI120" s="102"/>
      <c r="CJ120" s="124"/>
      <c r="CK120" s="101"/>
      <c r="CL120" s="102"/>
      <c r="CM120" s="102"/>
      <c r="CN120" s="102"/>
      <c r="CO120" s="94"/>
      <c r="CP120" s="86" t="b">
        <f>IF(CI57=19,26)</f>
        <v>0</v>
      </c>
      <c r="CQ120" s="125"/>
      <c r="CR120" s="120"/>
      <c r="CT120" s="62"/>
      <c r="CU120" s="62"/>
      <c r="CV120" s="62"/>
      <c r="CW120" s="62"/>
      <c r="CX120" s="62"/>
      <c r="CY120" s="62"/>
      <c r="CZ120" s="62"/>
      <c r="DA120" s="62"/>
      <c r="DB120" s="62"/>
      <c r="DC120" s="62"/>
      <c r="DD120" s="62"/>
    </row>
    <row r="121" spans="7:143" ht="21" hidden="1" thickBot="1" x14ac:dyDescent="0.25">
      <c r="G121" s="797"/>
      <c r="H121"/>
      <c r="I121"/>
      <c r="J121"/>
      <c r="K121"/>
      <c r="L121"/>
      <c r="M121"/>
      <c r="N121"/>
      <c r="O121" s="794"/>
      <c r="BN121" s="69"/>
      <c r="BO121" s="863"/>
      <c r="BP121" s="79">
        <v>18</v>
      </c>
      <c r="BQ121" s="60"/>
      <c r="BR121" s="60"/>
      <c r="BS121" s="60"/>
      <c r="BT121" s="60"/>
      <c r="BU121" s="60"/>
      <c r="BV121" s="60"/>
      <c r="BW121" s="60"/>
      <c r="BX121" s="60"/>
      <c r="BZ121" s="100">
        <f>IF(CH57=18,10)</f>
        <v>10</v>
      </c>
      <c r="CA121" s="102"/>
      <c r="CB121" s="102"/>
      <c r="CC121" s="102"/>
      <c r="CD121" s="102"/>
      <c r="CE121" s="101"/>
      <c r="CF121" s="102"/>
      <c r="CG121" s="102"/>
      <c r="CH121" s="123"/>
      <c r="CI121" s="102"/>
      <c r="CJ121" s="124"/>
      <c r="CK121" s="101"/>
      <c r="CL121" s="102"/>
      <c r="CM121" s="102"/>
      <c r="CN121" s="102"/>
      <c r="CO121" s="94"/>
      <c r="CP121" s="86">
        <f>IF(CH57=18,26)</f>
        <v>26</v>
      </c>
      <c r="CR121" s="62"/>
      <c r="CS121" s="62"/>
      <c r="CT121" s="62"/>
      <c r="CU121" s="62"/>
      <c r="CV121" s="62"/>
      <c r="CW121" s="62"/>
      <c r="CX121" s="62"/>
      <c r="CY121" s="62"/>
      <c r="CZ121" s="62"/>
      <c r="DA121" s="62"/>
      <c r="DB121" s="62"/>
      <c r="DC121" s="62"/>
      <c r="DD121" s="62"/>
    </row>
    <row r="122" spans="7:143" ht="21" hidden="1" thickBot="1" x14ac:dyDescent="0.25">
      <c r="G122" s="797"/>
      <c r="H122"/>
      <c r="I122"/>
      <c r="J122"/>
      <c r="K122"/>
      <c r="L122"/>
      <c r="M122"/>
      <c r="N122"/>
      <c r="O122" s="794"/>
      <c r="BN122" s="69"/>
      <c r="BO122" s="863"/>
      <c r="BP122" s="79">
        <v>17</v>
      </c>
      <c r="BQ122" s="60"/>
      <c r="BR122" s="60"/>
      <c r="BS122" s="60"/>
      <c r="BT122" s="60"/>
      <c r="BU122" s="60"/>
      <c r="BV122" s="60"/>
      <c r="BW122" s="60"/>
      <c r="BX122" s="100" t="b">
        <f>IF(CG57=17,8)</f>
        <v>0</v>
      </c>
      <c r="BY122" s="101"/>
      <c r="BZ122" s="101"/>
      <c r="CA122" s="102"/>
      <c r="CB122" s="102"/>
      <c r="CC122" s="102"/>
      <c r="CD122" s="102"/>
      <c r="CE122" s="102"/>
      <c r="CF122" s="102"/>
      <c r="CG122" s="102"/>
      <c r="CH122" s="123"/>
      <c r="CI122" s="102"/>
      <c r="CJ122" s="124"/>
      <c r="CK122" s="102"/>
      <c r="CL122" s="102"/>
      <c r="CM122" s="102"/>
      <c r="CN122" s="101"/>
      <c r="CO122" s="101"/>
      <c r="CP122" s="86" t="b">
        <f>IF(CG57=17,26)</f>
        <v>0</v>
      </c>
      <c r="CQ122" s="62"/>
      <c r="CR122" s="62"/>
      <c r="CS122" s="62"/>
      <c r="CT122" s="62"/>
      <c r="CU122" s="62"/>
      <c r="CV122" s="62"/>
      <c r="CW122" s="62"/>
      <c r="CX122" s="62"/>
      <c r="CY122" s="62"/>
      <c r="CZ122" s="62"/>
      <c r="DA122" s="62"/>
      <c r="DB122" s="62"/>
      <c r="DC122" s="62"/>
      <c r="DD122" s="62"/>
      <c r="DF122" s="1105"/>
      <c r="DG122" s="1105"/>
      <c r="DH122" s="60"/>
      <c r="DI122" s="60"/>
      <c r="DJ122" s="61"/>
      <c r="DK122" s="62"/>
      <c r="DL122" s="62"/>
      <c r="DM122" s="62"/>
      <c r="DN122" s="62"/>
      <c r="DO122" s="62"/>
      <c r="DP122" s="62"/>
      <c r="DQ122" s="62"/>
      <c r="DR122" s="62"/>
      <c r="DS122" s="62"/>
      <c r="DT122" s="62"/>
      <c r="DU122" s="62"/>
      <c r="DV122" s="62"/>
      <c r="DW122" s="62"/>
      <c r="DX122" s="62"/>
      <c r="DY122" s="62"/>
      <c r="DZ122" s="62"/>
      <c r="EA122" s="62"/>
      <c r="EB122" s="62"/>
      <c r="EC122" s="62"/>
      <c r="ED122" s="62"/>
      <c r="EE122" s="62"/>
      <c r="EF122" s="62"/>
      <c r="EG122" s="62"/>
      <c r="EH122" s="62"/>
      <c r="EI122" s="62"/>
      <c r="EJ122" s="62"/>
      <c r="EK122" s="62"/>
      <c r="EL122" s="58"/>
      <c r="EM122" s="58"/>
    </row>
    <row r="123" spans="7:143" ht="21" hidden="1" thickBot="1" x14ac:dyDescent="0.25">
      <c r="G123" s="797"/>
      <c r="H123"/>
      <c r="I123"/>
      <c r="J123"/>
      <c r="K123"/>
      <c r="L123"/>
      <c r="M123"/>
      <c r="N123"/>
      <c r="O123" s="794"/>
      <c r="BN123" s="69"/>
      <c r="BO123" s="863"/>
      <c r="BP123" s="79">
        <v>16</v>
      </c>
      <c r="BQ123" s="60"/>
      <c r="BR123" s="60"/>
      <c r="BS123" s="60"/>
      <c r="BT123" s="60"/>
      <c r="BU123" s="60"/>
      <c r="BV123" s="128" t="b">
        <f>IF(CF57=16,6)</f>
        <v>0</v>
      </c>
      <c r="BW123" s="129"/>
      <c r="BX123" s="130"/>
      <c r="BY123" s="130"/>
      <c r="BZ123" s="129"/>
      <c r="CA123" s="129"/>
      <c r="CB123" s="129"/>
      <c r="CC123" s="129"/>
      <c r="CD123" s="129"/>
      <c r="CE123" s="129"/>
      <c r="CF123" s="129"/>
      <c r="CG123" s="129"/>
      <c r="CH123" s="131"/>
      <c r="CI123" s="129"/>
      <c r="CJ123" s="132"/>
      <c r="CK123" s="129"/>
      <c r="CL123" s="129"/>
      <c r="CM123" s="130"/>
      <c r="CN123" s="130"/>
      <c r="CO123" s="133"/>
      <c r="CP123" s="134" t="b">
        <f>IF(CF57=16,26)</f>
        <v>0</v>
      </c>
      <c r="CQ123" s="62"/>
      <c r="CR123" s="62"/>
      <c r="CS123" s="62"/>
      <c r="CT123" s="62"/>
      <c r="CU123" s="62"/>
      <c r="CV123" s="62"/>
      <c r="CW123" s="62"/>
      <c r="CX123" s="62"/>
      <c r="CY123" s="62"/>
      <c r="CZ123" s="62"/>
      <c r="DA123" s="62"/>
      <c r="DB123" s="62"/>
      <c r="DC123" s="62"/>
      <c r="DD123" s="62"/>
      <c r="EJ123" s="62"/>
      <c r="EK123" s="62"/>
    </row>
    <row r="124" spans="7:143" ht="66.75" hidden="1" customHeight="1" thickBot="1" x14ac:dyDescent="0.25">
      <c r="G124" s="797"/>
      <c r="H124"/>
      <c r="I124" s="808" t="s">
        <v>192</v>
      </c>
      <c r="J124" s="808" t="s">
        <v>191</v>
      </c>
      <c r="K124" s="774" t="s">
        <v>193</v>
      </c>
      <c r="L124" s="775" t="s">
        <v>194</v>
      </c>
      <c r="M124" s="784" t="s">
        <v>198</v>
      </c>
      <c r="N124"/>
      <c r="O124" s="794"/>
      <c r="BN124" s="69"/>
      <c r="BO124" s="863"/>
      <c r="BP124" s="79">
        <v>15</v>
      </c>
      <c r="BQ124" s="60"/>
      <c r="BR124" s="60"/>
      <c r="BS124" s="60"/>
      <c r="BT124" s="100" t="b">
        <f>IF(CE57=15,4)</f>
        <v>0</v>
      </c>
      <c r="BU124" s="102"/>
      <c r="BV124" s="102"/>
      <c r="BW124" s="102"/>
      <c r="BX124" s="101"/>
      <c r="BY124" s="102"/>
      <c r="BZ124" s="102"/>
      <c r="CA124" s="101"/>
      <c r="CB124" s="102"/>
      <c r="CC124" s="102"/>
      <c r="CD124" s="102"/>
      <c r="CE124" s="102"/>
      <c r="CF124" s="102"/>
      <c r="CG124" s="102"/>
      <c r="CH124" s="123"/>
      <c r="CI124" s="101"/>
      <c r="CJ124" s="124"/>
      <c r="CK124" s="102"/>
      <c r="CL124" s="101"/>
      <c r="CM124" s="102"/>
      <c r="CN124" s="102"/>
      <c r="CO124" s="94"/>
      <c r="CP124" s="86" t="b">
        <f>IF(CE57=15,26)</f>
        <v>0</v>
      </c>
      <c r="CQ124" s="62"/>
      <c r="CR124" s="62"/>
      <c r="CS124" s="62"/>
      <c r="CT124" s="62"/>
      <c r="CU124" s="62"/>
      <c r="CV124" s="62"/>
      <c r="CW124" s="62"/>
      <c r="CX124" s="62"/>
      <c r="CY124" s="62"/>
      <c r="CZ124" s="62"/>
      <c r="DA124" s="62"/>
      <c r="DB124" s="62"/>
      <c r="DC124" s="62"/>
      <c r="DD124" s="62"/>
      <c r="EJ124" s="62"/>
      <c r="EK124" s="62"/>
    </row>
    <row r="125" spans="7:143" ht="66.75" hidden="1" customHeight="1" thickBot="1" x14ac:dyDescent="0.25">
      <c r="G125" s="797"/>
      <c r="H125"/>
      <c r="I125" s="768" t="s">
        <v>185</v>
      </c>
      <c r="J125" s="773" t="s">
        <v>184</v>
      </c>
      <c r="K125" s="772" t="s">
        <v>112</v>
      </c>
      <c r="L125" s="776" t="s">
        <v>112</v>
      </c>
      <c r="M125" s="785" t="s">
        <v>112</v>
      </c>
      <c r="N125"/>
      <c r="O125" s="794"/>
      <c r="BN125" s="69"/>
      <c r="BO125" s="863"/>
      <c r="BP125" s="79">
        <v>14</v>
      </c>
      <c r="BQ125" s="60"/>
      <c r="BR125" s="100" t="b">
        <f>IF(CD57=14,2)</f>
        <v>0</v>
      </c>
      <c r="BS125" s="102"/>
      <c r="BT125" s="102"/>
      <c r="BU125" s="102"/>
      <c r="BV125" s="101"/>
      <c r="BW125" s="102"/>
      <c r="BX125" s="102"/>
      <c r="BY125" s="101"/>
      <c r="BZ125" s="102"/>
      <c r="CA125" s="102"/>
      <c r="CB125" s="102"/>
      <c r="CC125" s="102"/>
      <c r="CD125" s="102"/>
      <c r="CE125" s="102"/>
      <c r="CF125" s="102"/>
      <c r="CG125" s="102"/>
      <c r="CH125" s="123"/>
      <c r="CI125" s="101"/>
      <c r="CJ125" s="124"/>
      <c r="CK125" s="102"/>
      <c r="CL125" s="101"/>
      <c r="CM125" s="102"/>
      <c r="CN125" s="102"/>
      <c r="CO125" s="94"/>
      <c r="CP125" s="86" t="b">
        <f>IF(CD57=14,26)</f>
        <v>0</v>
      </c>
      <c r="CQ125" s="62"/>
      <c r="CR125" s="62"/>
      <c r="CS125" s="62"/>
      <c r="CT125" s="62"/>
      <c r="CU125" s="62"/>
      <c r="CV125" s="62"/>
      <c r="CW125" s="62"/>
      <c r="CX125" s="62"/>
      <c r="CY125" s="62"/>
      <c r="CZ125" s="62"/>
      <c r="DA125" s="62"/>
      <c r="DB125" s="62"/>
      <c r="DC125" s="62"/>
      <c r="DD125" s="62"/>
      <c r="EJ125" s="62"/>
      <c r="EK125" s="62"/>
    </row>
    <row r="126" spans="7:143" ht="66.75" hidden="1" customHeight="1" thickBot="1" x14ac:dyDescent="0.3">
      <c r="G126" s="797"/>
      <c r="H126" s="861" t="s">
        <v>210</v>
      </c>
      <c r="I126" s="854">
        <f>+MIN(K31:L32)</f>
        <v>67.330215367325053</v>
      </c>
      <c r="J126" s="854">
        <f>+MIN(J37:K38)</f>
        <v>86.496507485404834</v>
      </c>
      <c r="K126" s="856">
        <f>+MIN(J43:L44)</f>
        <v>94.228504122497043</v>
      </c>
      <c r="L126" s="857">
        <f>+MIN(J49:L50)</f>
        <v>40.77194889915738</v>
      </c>
      <c r="M126" s="858">
        <f>+MIN(J55:L56)</f>
        <v>94.228504122497043</v>
      </c>
      <c r="N126"/>
      <c r="O126" s="794"/>
      <c r="BN126" s="69"/>
      <c r="BO126" s="863"/>
      <c r="BP126" s="79">
        <v>13</v>
      </c>
      <c r="BQ126" s="60"/>
      <c r="BR126" s="60"/>
      <c r="BS126" s="60"/>
      <c r="BU126" s="135"/>
      <c r="BV126" s="135"/>
      <c r="BW126" s="74"/>
      <c r="BX126" s="135"/>
      <c r="BY126" s="103" t="b">
        <f>IF(CC57=13,9)</f>
        <v>0</v>
      </c>
      <c r="BZ126" s="106"/>
      <c r="CA126" s="106"/>
      <c r="CB126" s="106"/>
      <c r="CC126" s="106"/>
      <c r="CD126" s="106"/>
      <c r="CE126" s="106"/>
      <c r="CF126" s="106"/>
      <c r="CG126" s="107" t="b">
        <f>IF(CC57=13,17)</f>
        <v>0</v>
      </c>
      <c r="CH126" s="136"/>
      <c r="CI126" s="74"/>
      <c r="CJ126" s="137"/>
      <c r="CK126" s="135"/>
      <c r="CM126" s="60"/>
      <c r="CN126" s="60"/>
      <c r="CO126" s="62"/>
      <c r="CP126" s="62"/>
      <c r="CQ126" s="62"/>
      <c r="CR126" s="62"/>
      <c r="CS126" s="62"/>
      <c r="CT126" s="62"/>
      <c r="CU126" s="62"/>
      <c r="CV126" s="62"/>
      <c r="CW126" s="62"/>
      <c r="CX126" s="62"/>
      <c r="CY126" s="62"/>
      <c r="CZ126" s="62"/>
      <c r="DA126" s="62"/>
      <c r="DB126" s="62"/>
      <c r="DC126" s="62"/>
      <c r="DD126" s="62"/>
      <c r="EJ126" s="62"/>
      <c r="EK126" s="62"/>
    </row>
    <row r="127" spans="7:143" ht="21" hidden="1" thickBot="1" x14ac:dyDescent="0.25">
      <c r="G127" s="810"/>
      <c r="H127" s="114"/>
      <c r="I127" s="114"/>
      <c r="J127" s="114"/>
      <c r="K127" s="114"/>
      <c r="L127" s="114"/>
      <c r="M127" s="114"/>
      <c r="N127" s="114"/>
      <c r="O127" s="811"/>
      <c r="BN127" s="69"/>
      <c r="BO127" s="863"/>
      <c r="BP127" s="79">
        <v>12</v>
      </c>
      <c r="BQ127" s="60"/>
      <c r="BS127" s="122"/>
      <c r="BT127" s="122"/>
      <c r="BU127" s="125"/>
      <c r="BV127" s="122"/>
      <c r="BW127" s="100" t="b">
        <f>IF(CB57=12,7)</f>
        <v>0</v>
      </c>
      <c r="BX127" s="102"/>
      <c r="BY127" s="102"/>
      <c r="BZ127" s="102"/>
      <c r="CA127" s="102"/>
      <c r="CB127" s="102"/>
      <c r="CC127" s="102"/>
      <c r="CD127" s="102"/>
      <c r="CE127" s="102"/>
      <c r="CF127" s="102"/>
      <c r="CG127" s="86" t="b">
        <f>IF(CB57=12,17)</f>
        <v>0</v>
      </c>
      <c r="CH127" s="138"/>
      <c r="CI127" s="125"/>
      <c r="CJ127" s="139"/>
      <c r="CK127" s="122"/>
      <c r="CM127" s="60"/>
      <c r="CN127" s="60"/>
      <c r="CO127" s="62"/>
      <c r="CP127" s="62"/>
      <c r="CQ127" s="62"/>
      <c r="CR127" s="62"/>
      <c r="CS127" s="62"/>
      <c r="CT127" s="62"/>
      <c r="CU127" s="62"/>
      <c r="CV127" s="62"/>
      <c r="CW127" s="62"/>
      <c r="CX127" s="62"/>
      <c r="CY127" s="62"/>
      <c r="CZ127" s="62"/>
      <c r="DA127" s="62"/>
      <c r="DB127" s="62"/>
      <c r="DC127" s="62"/>
      <c r="DD127" s="62"/>
      <c r="DF127" s="90"/>
      <c r="DG127" s="90"/>
      <c r="DH127" s="90"/>
      <c r="DI127" s="90"/>
      <c r="DJ127" s="90"/>
      <c r="DK127" s="91"/>
      <c r="DL127" s="90"/>
      <c r="DM127" s="90"/>
      <c r="DN127" s="90"/>
      <c r="DO127" s="90"/>
      <c r="DP127" s="90"/>
      <c r="DQ127" s="90"/>
      <c r="DR127" s="90"/>
      <c r="DS127" s="90"/>
      <c r="DT127" s="90"/>
      <c r="DU127" s="90"/>
      <c r="DV127" s="90"/>
      <c r="DW127" s="90"/>
      <c r="DX127" s="90"/>
      <c r="DY127" s="90"/>
      <c r="DZ127" s="90"/>
      <c r="EA127" s="90"/>
      <c r="EB127" s="90"/>
      <c r="EC127" s="91"/>
      <c r="ED127" s="62"/>
      <c r="EE127" s="62"/>
      <c r="EF127" s="62"/>
      <c r="EG127" s="62"/>
      <c r="EH127" s="62"/>
      <c r="EI127" s="62"/>
      <c r="EJ127" s="62"/>
      <c r="EK127" s="62"/>
    </row>
    <row r="128" spans="7:143" ht="31" hidden="1" thickBot="1" x14ac:dyDescent="0.25">
      <c r="G128" s="797"/>
      <c r="H128" s="184"/>
      <c r="I128" s="184"/>
      <c r="J128" s="184"/>
      <c r="K128" s="184"/>
      <c r="L128" s="184"/>
      <c r="M128" s="184"/>
      <c r="N128" s="184"/>
      <c r="O128" s="812"/>
      <c r="BN128" s="69"/>
      <c r="BO128" s="863"/>
      <c r="BP128" s="79">
        <v>11</v>
      </c>
      <c r="BR128" s="135"/>
      <c r="BS128" s="74"/>
      <c r="BT128" s="135"/>
      <c r="BU128" s="100" t="b">
        <f>IF(CA57=11,5)</f>
        <v>0</v>
      </c>
      <c r="BV128" s="102"/>
      <c r="BW128" s="102"/>
      <c r="BX128" s="102"/>
      <c r="BY128" s="102"/>
      <c r="BZ128" s="102"/>
      <c r="CA128" s="102"/>
      <c r="CB128" s="102"/>
      <c r="CC128" s="102"/>
      <c r="CD128" s="102"/>
      <c r="CE128" s="102"/>
      <c r="CF128" s="102"/>
      <c r="CG128" s="86" t="b">
        <f>IF(CA57=11,17)</f>
        <v>0</v>
      </c>
      <c r="CH128" s="136"/>
      <c r="CI128" s="74"/>
      <c r="CJ128" s="137"/>
      <c r="CL128" s="60"/>
      <c r="CM128" s="60"/>
      <c r="CN128" s="60"/>
      <c r="CO128" s="62"/>
      <c r="CP128" s="62"/>
      <c r="CQ128" s="62"/>
      <c r="CR128" s="62"/>
      <c r="CS128" s="62"/>
      <c r="CT128" s="62"/>
      <c r="CU128" s="62"/>
      <c r="CV128" s="62"/>
      <c r="CW128" s="62"/>
      <c r="CX128" s="62"/>
      <c r="CY128" s="62"/>
      <c r="CZ128" s="62"/>
      <c r="DA128" s="62"/>
      <c r="DB128" s="62"/>
      <c r="DC128" s="62"/>
      <c r="DD128" s="62"/>
      <c r="DF128" s="90"/>
      <c r="DG128" s="90"/>
      <c r="DH128" s="90"/>
      <c r="DI128" s="90"/>
      <c r="DJ128" s="90"/>
      <c r="DK128" s="91"/>
      <c r="DL128" s="90"/>
      <c r="DM128" s="90"/>
      <c r="DN128" s="90"/>
      <c r="DO128" s="90"/>
      <c r="DP128" s="90"/>
      <c r="DQ128" s="90"/>
      <c r="DR128" s="90"/>
      <c r="DS128" s="90"/>
      <c r="DT128" s="90"/>
      <c r="DU128" s="90"/>
      <c r="DV128" s="90"/>
      <c r="DW128" s="90"/>
      <c r="DX128" s="90"/>
      <c r="DY128" s="90"/>
      <c r="DZ128" s="90"/>
      <c r="EA128" s="90"/>
      <c r="EB128" s="90"/>
      <c r="EC128" s="91"/>
      <c r="ED128" s="62"/>
      <c r="EE128" s="62"/>
      <c r="EF128" s="62"/>
      <c r="EG128" s="62"/>
      <c r="EH128" s="62"/>
      <c r="EI128" s="62"/>
      <c r="EJ128" s="62"/>
      <c r="EK128" s="62"/>
    </row>
    <row r="129" spans="2:141" ht="21" hidden="1" thickBot="1" x14ac:dyDescent="0.25">
      <c r="G129" s="797"/>
      <c r="H129"/>
      <c r="I129"/>
      <c r="J129"/>
      <c r="K129"/>
      <c r="L129"/>
      <c r="M129"/>
      <c r="N129"/>
      <c r="O129" s="794"/>
      <c r="BN129" s="69"/>
      <c r="BO129" s="863"/>
      <c r="BP129" s="79">
        <v>10</v>
      </c>
      <c r="BR129" s="135"/>
      <c r="BS129" s="100" t="b">
        <f>IF(BZ57=10,3)</f>
        <v>0</v>
      </c>
      <c r="BT129" s="102"/>
      <c r="BU129" s="102"/>
      <c r="BV129" s="102"/>
      <c r="BW129" s="102"/>
      <c r="BX129" s="102"/>
      <c r="BY129" s="102"/>
      <c r="BZ129" s="102"/>
      <c r="CA129" s="102"/>
      <c r="CB129" s="102"/>
      <c r="CC129" s="102"/>
      <c r="CD129" s="102"/>
      <c r="CE129" s="102"/>
      <c r="CF129" s="102"/>
      <c r="CG129" s="86" t="b">
        <f>IF(BZ57=10,17)</f>
        <v>0</v>
      </c>
      <c r="CH129" s="136"/>
      <c r="CJ129" s="140"/>
      <c r="CK129" s="60"/>
      <c r="CL129" s="60"/>
      <c r="CM129" s="60"/>
      <c r="CN129" s="60"/>
      <c r="CO129" s="62"/>
      <c r="CP129" s="62"/>
      <c r="CQ129" s="62"/>
      <c r="CR129" s="62"/>
      <c r="CS129" s="62"/>
      <c r="CT129" s="62"/>
      <c r="CU129" s="62"/>
      <c r="CV129" s="62"/>
      <c r="CW129" s="62"/>
      <c r="CX129" s="62"/>
      <c r="CY129" s="62"/>
      <c r="CZ129" s="62"/>
      <c r="DA129" s="62"/>
      <c r="DB129" s="62"/>
      <c r="DC129" s="62"/>
      <c r="DD129" s="62"/>
      <c r="EJ129" s="62"/>
      <c r="EK129" s="62"/>
    </row>
    <row r="130" spans="2:141" ht="24" hidden="1" thickBot="1" x14ac:dyDescent="0.3">
      <c r="G130" s="797"/>
      <c r="H130"/>
      <c r="I130" s="843" t="s">
        <v>208</v>
      </c>
      <c r="J130" s="843" t="s">
        <v>207</v>
      </c>
      <c r="K130"/>
      <c r="L130"/>
      <c r="M130"/>
      <c r="N130"/>
      <c r="O130" s="794"/>
      <c r="BN130" s="69"/>
      <c r="BO130" s="863"/>
      <c r="BP130" s="79">
        <v>9</v>
      </c>
      <c r="BQ130" s="100" t="b">
        <f>IF(BY57=9,1)</f>
        <v>0</v>
      </c>
      <c r="BR130" s="102"/>
      <c r="BS130" s="102"/>
      <c r="BT130" s="102"/>
      <c r="BU130" s="102"/>
      <c r="BV130" s="102"/>
      <c r="BW130" s="102"/>
      <c r="BX130" s="102"/>
      <c r="BY130" s="102"/>
      <c r="BZ130" s="102"/>
      <c r="CA130" s="102"/>
      <c r="CB130" s="102"/>
      <c r="CC130" s="102"/>
      <c r="CD130" s="102"/>
      <c r="CE130" s="102"/>
      <c r="CF130" s="102"/>
      <c r="CG130" s="86" t="b">
        <f>IF(BY57=9,17)</f>
        <v>0</v>
      </c>
      <c r="CH130" s="60"/>
      <c r="CI130" s="60"/>
      <c r="CJ130" s="140"/>
      <c r="CK130" s="60"/>
      <c r="CL130" s="60"/>
      <c r="CM130" s="60"/>
      <c r="CN130" s="60"/>
      <c r="CO130" s="62"/>
      <c r="CP130" s="62"/>
      <c r="CQ130" s="62"/>
      <c r="CR130" s="62"/>
      <c r="CS130" s="62"/>
      <c r="CT130" s="62"/>
      <c r="CU130" s="62"/>
      <c r="CV130" s="62"/>
      <c r="CW130" s="62"/>
      <c r="CX130" s="62"/>
      <c r="CY130" s="62"/>
      <c r="CZ130" s="62"/>
      <c r="DA130" s="62"/>
      <c r="DB130" s="62"/>
      <c r="DC130" s="62"/>
      <c r="DD130" s="62"/>
      <c r="EJ130" s="62"/>
      <c r="EK130" s="62"/>
    </row>
    <row r="131" spans="2:141" ht="24" hidden="1" thickBot="1" x14ac:dyDescent="0.3">
      <c r="G131" s="813"/>
      <c r="H131" s="192"/>
      <c r="I131" s="859">
        <f>COUNTIF(CK138:DA138,"&gt;0")</f>
        <v>1</v>
      </c>
      <c r="J131" s="859">
        <f>COUNTIF(BQ138:CG138,"&gt;0")</f>
        <v>1</v>
      </c>
      <c r="K131" s="859" t="b">
        <f>AND(IF(SUM(BQ140:CA140)&gt;0,1,0),IF(CP140="6  ADS ",1,0))</f>
        <v>1</v>
      </c>
      <c r="L131" s="859" t="b">
        <f>AND(IF(SUM(CQ140:DA140)&gt;0,1,0),IF(CB140="6  ADS ",1,0))</f>
        <v>0</v>
      </c>
      <c r="M131" s="859" t="b">
        <f>AND(IF(CP140="6  ADS ",1,0),IF(CB140="6  ADS ",1,0))</f>
        <v>0</v>
      </c>
      <c r="N131" s="192"/>
      <c r="O131" s="814"/>
      <c r="BN131" s="69"/>
      <c r="BO131" s="863"/>
      <c r="BP131" s="79">
        <v>8</v>
      </c>
      <c r="BQ131" s="100" t="b">
        <f>IF(BX57=8,1)</f>
        <v>0</v>
      </c>
      <c r="BR131" s="102"/>
      <c r="BS131" s="101"/>
      <c r="BT131" s="102"/>
      <c r="BU131" s="102"/>
      <c r="BV131" s="102"/>
      <c r="BW131" s="102"/>
      <c r="BX131" s="102"/>
      <c r="BY131" s="102"/>
      <c r="BZ131" s="102"/>
      <c r="CA131" s="102"/>
      <c r="CB131" s="102"/>
      <c r="CC131" s="101"/>
      <c r="CD131" s="102"/>
      <c r="CE131" s="86" t="b">
        <f>IF(BX57=8,15)</f>
        <v>0</v>
      </c>
      <c r="CF131" s="60"/>
      <c r="CG131" s="60"/>
      <c r="CH131" s="141"/>
      <c r="CI131" s="60"/>
      <c r="CJ131" s="140"/>
      <c r="CK131" s="60"/>
      <c r="CL131" s="60"/>
      <c r="CM131" s="60"/>
      <c r="CN131" s="60"/>
      <c r="CO131" s="62"/>
      <c r="CP131" s="62"/>
      <c r="CQ131" s="62"/>
      <c r="CR131" s="62"/>
      <c r="CS131" s="62"/>
      <c r="CT131" s="62"/>
      <c r="CU131" s="62"/>
      <c r="CV131" s="62"/>
      <c r="CW131" s="62"/>
      <c r="CX131" s="62"/>
      <c r="CY131" s="62"/>
      <c r="CZ131" s="62"/>
      <c r="DA131" s="62"/>
      <c r="DB131" s="62"/>
      <c r="DC131" s="62"/>
      <c r="DD131" s="62"/>
      <c r="EJ131" s="62"/>
      <c r="EK131" s="62"/>
    </row>
    <row r="132" spans="2:141" ht="24" hidden="1" thickBot="1" x14ac:dyDescent="0.3">
      <c r="G132" s="815"/>
      <c r="H132" s="816"/>
      <c r="I132" s="860">
        <f>IF(I131=2,I126,0)</f>
        <v>0</v>
      </c>
      <c r="J132" s="860">
        <f>IF(J131=2,J126,0)</f>
        <v>0</v>
      </c>
      <c r="K132" s="860">
        <f t="shared" ref="K132:M132" si="3">IF(K131=TRUE,K126,0)</f>
        <v>94.228504122497043</v>
      </c>
      <c r="L132" s="860">
        <f t="shared" si="3"/>
        <v>0</v>
      </c>
      <c r="M132" s="860">
        <f t="shared" si="3"/>
        <v>0</v>
      </c>
      <c r="N132" s="816"/>
      <c r="O132" s="817"/>
      <c r="BN132" s="69"/>
      <c r="BO132" s="863"/>
      <c r="BP132" s="79">
        <v>7</v>
      </c>
      <c r="BQ132" s="100" t="b">
        <f>IF(BW57=7,1)</f>
        <v>0</v>
      </c>
      <c r="BR132" s="101"/>
      <c r="BS132" s="102"/>
      <c r="BT132" s="102"/>
      <c r="BU132" s="102"/>
      <c r="BV132" s="102"/>
      <c r="BW132" s="102"/>
      <c r="BX132" s="102"/>
      <c r="BY132" s="102"/>
      <c r="BZ132" s="102"/>
      <c r="CA132" s="101"/>
      <c r="CB132" s="101"/>
      <c r="CC132" s="86" t="b">
        <f>IF(BW57=7,13)</f>
        <v>0</v>
      </c>
      <c r="CD132" s="60"/>
      <c r="CE132" s="60"/>
      <c r="CF132" s="60"/>
      <c r="CG132" s="60"/>
      <c r="CH132" s="141"/>
      <c r="CI132" s="60"/>
      <c r="CJ132" s="140"/>
      <c r="CK132" s="60"/>
      <c r="CL132" s="60"/>
      <c r="CM132" s="60"/>
      <c r="CN132" s="60"/>
      <c r="CO132" s="62"/>
      <c r="CP132" s="62"/>
      <c r="CQ132" s="62"/>
      <c r="CR132" s="62"/>
      <c r="CS132" s="62"/>
      <c r="CT132" s="62"/>
      <c r="CU132" s="62"/>
      <c r="CV132" s="62"/>
      <c r="CW132" s="62"/>
      <c r="CX132" s="62"/>
      <c r="CY132" s="62"/>
      <c r="CZ132" s="62"/>
      <c r="DA132" s="62"/>
      <c r="DB132" s="62"/>
      <c r="DC132" s="62"/>
      <c r="DD132" s="62"/>
      <c r="EJ132" s="62"/>
      <c r="EK132" s="62"/>
    </row>
    <row r="133" spans="2:141" ht="21" hidden="1" thickBot="1" x14ac:dyDescent="0.25">
      <c r="BN133" s="69"/>
      <c r="BO133" s="863"/>
      <c r="BP133" s="79">
        <v>6</v>
      </c>
      <c r="BQ133" s="103" t="b">
        <f>IF(BV57=6,1)</f>
        <v>0</v>
      </c>
      <c r="BR133" s="106"/>
      <c r="BS133" s="106"/>
      <c r="BT133" s="106"/>
      <c r="BU133" s="106"/>
      <c r="BV133" s="106"/>
      <c r="BW133" s="106"/>
      <c r="BX133" s="106"/>
      <c r="BY133" s="106"/>
      <c r="BZ133" s="106"/>
      <c r="CA133" s="107" t="b">
        <f>IF(BV57=6,11)</f>
        <v>0</v>
      </c>
      <c r="CB133" s="60"/>
      <c r="CC133" s="60"/>
      <c r="CD133" s="60"/>
      <c r="CE133" s="60"/>
      <c r="CF133" s="60"/>
      <c r="CG133" s="60"/>
      <c r="CH133" s="141"/>
      <c r="CI133" s="60"/>
      <c r="CJ133" s="140"/>
      <c r="CK133" s="60"/>
      <c r="CL133" s="60"/>
      <c r="CM133" s="60"/>
      <c r="CN133" s="60"/>
      <c r="CO133" s="62"/>
      <c r="CP133" s="62"/>
      <c r="CQ133" s="62"/>
      <c r="CR133" s="62"/>
      <c r="CS133" s="62"/>
      <c r="CT133" s="62"/>
      <c r="CU133" s="62"/>
      <c r="CV133" s="62"/>
      <c r="CW133" s="62"/>
      <c r="CX133" s="62"/>
      <c r="CY133" s="62"/>
      <c r="CZ133" s="62"/>
      <c r="DA133" s="62"/>
      <c r="DB133" s="62"/>
      <c r="DC133" s="62"/>
      <c r="DD133" s="62"/>
      <c r="EJ133" s="62"/>
      <c r="EK133" s="62"/>
    </row>
    <row r="134" spans="2:141" ht="21" hidden="1" thickBot="1" x14ac:dyDescent="0.25">
      <c r="BN134" s="69"/>
      <c r="BO134" s="863"/>
      <c r="BP134" s="79">
        <v>5</v>
      </c>
      <c r="BQ134" s="103" t="b">
        <f>IF(BU57=5,1)</f>
        <v>0</v>
      </c>
      <c r="BR134" s="105"/>
      <c r="BS134" s="106"/>
      <c r="BT134" s="106"/>
      <c r="BU134" s="106"/>
      <c r="BV134" s="106"/>
      <c r="BW134" s="106"/>
      <c r="BX134" s="105"/>
      <c r="BY134" s="107" t="b">
        <f>IF(BU57=5,9)</f>
        <v>0</v>
      </c>
      <c r="BZ134" s="60"/>
      <c r="CA134" s="60"/>
      <c r="CB134" s="60"/>
      <c r="CC134" s="60"/>
      <c r="CD134" s="60"/>
      <c r="CE134" s="60"/>
      <c r="CF134" s="60"/>
      <c r="CG134" s="60"/>
      <c r="CH134" s="141"/>
      <c r="CI134" s="60"/>
      <c r="CJ134" s="140"/>
      <c r="CK134" s="60"/>
      <c r="CL134" s="60"/>
      <c r="CM134" s="60"/>
      <c r="CN134" s="60"/>
      <c r="CO134" s="62"/>
      <c r="CP134" s="62"/>
      <c r="CQ134" s="62"/>
      <c r="CR134" s="62"/>
      <c r="CS134" s="62"/>
      <c r="CT134" s="62"/>
      <c r="CU134" s="62"/>
      <c r="CV134" s="62"/>
      <c r="CW134" s="62"/>
      <c r="CX134" s="62"/>
      <c r="CY134" s="62"/>
      <c r="CZ134" s="62"/>
      <c r="DA134" s="62"/>
      <c r="DB134" s="62"/>
      <c r="DC134" s="62"/>
      <c r="DD134" s="62"/>
      <c r="EJ134" s="62"/>
      <c r="EK134" s="62"/>
    </row>
    <row r="135" spans="2:141" ht="21" hidden="1" thickBot="1" x14ac:dyDescent="0.25">
      <c r="BN135" s="69"/>
      <c r="BO135" s="863"/>
      <c r="BP135" s="79">
        <v>4</v>
      </c>
      <c r="BQ135" s="103" t="b">
        <f>IF(BT57=4,1)</f>
        <v>0</v>
      </c>
      <c r="BR135" s="106"/>
      <c r="BS135" s="106"/>
      <c r="BT135" s="106"/>
      <c r="BU135" s="106"/>
      <c r="BV135" s="106"/>
      <c r="BW135" s="107" t="b">
        <f>IF(BT57=4,7)</f>
        <v>0</v>
      </c>
      <c r="BX135" s="60"/>
      <c r="BY135" s="142"/>
      <c r="BZ135" s="142"/>
      <c r="CA135" s="60"/>
      <c r="CB135" s="142"/>
      <c r="CC135" s="60"/>
      <c r="CD135" s="60"/>
      <c r="CE135" s="60"/>
      <c r="CF135" s="60"/>
      <c r="CG135" s="60"/>
      <c r="CH135" s="141"/>
      <c r="CI135" s="60"/>
      <c r="CJ135" s="140"/>
      <c r="CK135" s="60"/>
      <c r="CL135" s="60"/>
      <c r="CM135" s="60"/>
      <c r="CN135" s="60"/>
      <c r="CO135" s="62"/>
      <c r="CP135" s="62"/>
      <c r="CQ135" s="62"/>
      <c r="CR135" s="62"/>
      <c r="CS135" s="62"/>
      <c r="CT135" s="62"/>
      <c r="CU135" s="62"/>
      <c r="CV135" s="62"/>
      <c r="CW135" s="62"/>
      <c r="CX135" s="62"/>
      <c r="CY135" s="62"/>
      <c r="CZ135" s="62"/>
      <c r="DA135" s="62"/>
      <c r="DB135" s="62"/>
      <c r="DC135" s="62"/>
      <c r="DD135" s="62"/>
      <c r="EJ135" s="62"/>
      <c r="EK135" s="62"/>
    </row>
    <row r="136" spans="2:141" ht="21" hidden="1" thickBot="1" x14ac:dyDescent="0.25">
      <c r="BN136" s="69"/>
      <c r="BO136" s="863"/>
      <c r="BP136" s="79">
        <v>3</v>
      </c>
      <c r="BQ136" s="103" t="b">
        <f>IF(BS57=3,1)</f>
        <v>0</v>
      </c>
      <c r="BR136" s="106"/>
      <c r="BS136" s="106"/>
      <c r="BT136" s="106"/>
      <c r="BU136" s="107" t="b">
        <f>IF(BS57=3,5)</f>
        <v>0</v>
      </c>
      <c r="BV136" s="60"/>
      <c r="BW136" s="60"/>
      <c r="BX136" s="60"/>
      <c r="BY136" s="60"/>
      <c r="BZ136" s="60"/>
      <c r="CA136" s="60"/>
      <c r="CB136" s="60"/>
      <c r="CC136" s="60"/>
      <c r="CD136" s="60"/>
      <c r="CE136" s="60"/>
      <c r="CF136" s="60"/>
      <c r="CG136" s="60"/>
      <c r="CH136" s="141"/>
      <c r="CI136" s="60"/>
      <c r="CJ136" s="140"/>
      <c r="CK136" s="60"/>
      <c r="CL136" s="60"/>
      <c r="CM136" s="60"/>
      <c r="CN136" s="60"/>
      <c r="CO136" s="62"/>
      <c r="CP136" s="62"/>
      <c r="CQ136" s="62"/>
      <c r="CR136" s="62"/>
      <c r="CS136" s="62"/>
      <c r="CT136" s="62"/>
      <c r="CU136" s="62"/>
      <c r="CV136" s="62"/>
      <c r="CW136" s="62"/>
      <c r="CX136" s="62"/>
      <c r="CY136" s="62"/>
      <c r="CZ136" s="62"/>
      <c r="DA136" s="62"/>
      <c r="DB136" s="62"/>
      <c r="DC136" s="62"/>
      <c r="DD136" s="62"/>
      <c r="EJ136" s="62"/>
      <c r="EK136" s="62"/>
    </row>
    <row r="137" spans="2:141" ht="20" hidden="1" x14ac:dyDescent="0.2">
      <c r="BN137" s="69"/>
      <c r="BO137" s="863"/>
      <c r="BP137" s="79">
        <v>2</v>
      </c>
      <c r="BQ137" s="143" t="b">
        <f>IF(BR57=2,1)</f>
        <v>0</v>
      </c>
      <c r="BR137" s="144"/>
      <c r="BS137" s="145" t="b">
        <f>IF(BR57=2,3)</f>
        <v>0</v>
      </c>
      <c r="BT137" s="60"/>
      <c r="BU137" s="60"/>
      <c r="BV137" s="60"/>
      <c r="BW137" s="60"/>
      <c r="BX137" s="60"/>
      <c r="BY137" s="60"/>
      <c r="BZ137" s="60"/>
      <c r="CA137" s="60"/>
      <c r="CB137" s="60"/>
      <c r="CC137" s="60"/>
      <c r="CD137" s="60"/>
      <c r="CE137" s="60"/>
      <c r="CF137" s="60"/>
      <c r="CG137" s="60"/>
      <c r="CH137" s="141"/>
      <c r="CI137" s="60"/>
      <c r="CJ137" s="140"/>
      <c r="CK137" s="60"/>
      <c r="CL137" s="60"/>
      <c r="CM137" s="60"/>
      <c r="CN137" s="60"/>
      <c r="CO137" s="62"/>
      <c r="CP137" s="62"/>
      <c r="CQ137" s="62"/>
      <c r="CR137" s="62"/>
      <c r="CS137" s="62"/>
      <c r="CT137" s="62"/>
      <c r="CU137" s="62"/>
      <c r="CV137" s="62"/>
      <c r="CW137" s="62"/>
      <c r="CX137" s="62"/>
      <c r="CY137" s="62"/>
      <c r="CZ137" s="62"/>
      <c r="DA137" s="62"/>
      <c r="DB137" s="62"/>
      <c r="DC137" s="62"/>
      <c r="DD137" s="62"/>
      <c r="EJ137" s="62"/>
      <c r="EK137" s="62"/>
    </row>
    <row r="138" spans="2:141" ht="21" hidden="1" thickBot="1" x14ac:dyDescent="0.25">
      <c r="BN138" s="69"/>
      <c r="BO138" s="863"/>
      <c r="BP138" s="146"/>
      <c r="BQ138" s="147">
        <f>SUM(BQ103:BQ137)</f>
        <v>0</v>
      </c>
      <c r="BR138" s="147">
        <f t="shared" ref="BR138:DA138" si="4">SUM(BR103:BR137)</f>
        <v>0</v>
      </c>
      <c r="BS138" s="147">
        <f t="shared" si="4"/>
        <v>0</v>
      </c>
      <c r="BT138" s="147">
        <f t="shared" si="4"/>
        <v>0</v>
      </c>
      <c r="BU138" s="147">
        <f t="shared" si="4"/>
        <v>0</v>
      </c>
      <c r="BV138" s="147">
        <f t="shared" si="4"/>
        <v>0</v>
      </c>
      <c r="BW138" s="147">
        <f t="shared" si="4"/>
        <v>0</v>
      </c>
      <c r="BX138" s="147">
        <f t="shared" si="4"/>
        <v>0</v>
      </c>
      <c r="BY138" s="147">
        <f t="shared" si="4"/>
        <v>0</v>
      </c>
      <c r="BZ138" s="147">
        <f t="shared" si="4"/>
        <v>10</v>
      </c>
      <c r="CA138" s="147">
        <f t="shared" si="4"/>
        <v>0</v>
      </c>
      <c r="CB138" s="147">
        <f t="shared" si="4"/>
        <v>0</v>
      </c>
      <c r="CC138" s="147">
        <f t="shared" si="4"/>
        <v>0</v>
      </c>
      <c r="CD138" s="147">
        <f t="shared" si="4"/>
        <v>0</v>
      </c>
      <c r="CE138" s="147">
        <f t="shared" si="4"/>
        <v>0</v>
      </c>
      <c r="CF138" s="147">
        <f t="shared" si="4"/>
        <v>0</v>
      </c>
      <c r="CG138" s="148">
        <f t="shared" si="4"/>
        <v>0</v>
      </c>
      <c r="CH138" s="149"/>
      <c r="CI138" s="150"/>
      <c r="CJ138" s="151"/>
      <c r="CK138" s="152">
        <f t="shared" si="4"/>
        <v>0</v>
      </c>
      <c r="CL138" s="147">
        <f t="shared" si="4"/>
        <v>0</v>
      </c>
      <c r="CM138" s="147">
        <f t="shared" si="4"/>
        <v>0</v>
      </c>
      <c r="CN138" s="147">
        <f t="shared" si="4"/>
        <v>0</v>
      </c>
      <c r="CO138" s="147">
        <f t="shared" si="4"/>
        <v>0</v>
      </c>
      <c r="CP138" s="147">
        <f t="shared" si="4"/>
        <v>26</v>
      </c>
      <c r="CQ138" s="147">
        <f t="shared" si="4"/>
        <v>0</v>
      </c>
      <c r="CR138" s="147">
        <f t="shared" si="4"/>
        <v>0</v>
      </c>
      <c r="CS138" s="147">
        <f t="shared" si="4"/>
        <v>0</v>
      </c>
      <c r="CT138" s="147">
        <f t="shared" si="4"/>
        <v>0</v>
      </c>
      <c r="CU138" s="147">
        <f t="shared" si="4"/>
        <v>0</v>
      </c>
      <c r="CV138" s="147">
        <f t="shared" si="4"/>
        <v>0</v>
      </c>
      <c r="CW138" s="147">
        <f t="shared" si="4"/>
        <v>0</v>
      </c>
      <c r="CX138" s="147">
        <f t="shared" si="4"/>
        <v>0</v>
      </c>
      <c r="CY138" s="147">
        <f t="shared" si="4"/>
        <v>0</v>
      </c>
      <c r="CZ138" s="147">
        <f t="shared" si="4"/>
        <v>0</v>
      </c>
      <c r="DA138" s="147">
        <f t="shared" si="4"/>
        <v>0</v>
      </c>
      <c r="DB138" s="62"/>
      <c r="DC138" s="62"/>
      <c r="DD138" s="62"/>
      <c r="EJ138" s="62"/>
      <c r="EK138" s="62"/>
    </row>
    <row r="139" spans="2:141" ht="21" hidden="1" thickBot="1" x14ac:dyDescent="0.25">
      <c r="BN139" s="69"/>
      <c r="BO139" s="863"/>
      <c r="BP139" s="146"/>
      <c r="BQ139" s="153"/>
      <c r="BR139" s="153"/>
      <c r="BS139" s="153"/>
      <c r="BT139" s="153"/>
      <c r="BU139" s="153"/>
      <c r="BV139" s="153"/>
      <c r="BW139" s="153"/>
      <c r="BX139" s="153"/>
      <c r="BY139" s="153"/>
      <c r="BZ139" s="153"/>
      <c r="CA139" s="153"/>
      <c r="CB139" s="153"/>
      <c r="CC139" s="153"/>
      <c r="CD139" s="153"/>
      <c r="CE139" s="153"/>
      <c r="CF139" s="153"/>
      <c r="CG139" s="153"/>
      <c r="CH139" s="153"/>
      <c r="CI139" s="153"/>
      <c r="CJ139" s="153"/>
      <c r="CK139" s="154"/>
      <c r="CL139" s="153"/>
      <c r="CM139" s="153"/>
      <c r="CN139" s="153"/>
      <c r="CO139" s="153"/>
      <c r="CP139" s="153"/>
      <c r="CQ139" s="153"/>
      <c r="CR139" s="153"/>
      <c r="CS139" s="153"/>
      <c r="CT139" s="153"/>
      <c r="CU139" s="153"/>
      <c r="CV139" s="153"/>
      <c r="CW139" s="153"/>
      <c r="CX139" s="153"/>
      <c r="CY139" s="153"/>
      <c r="CZ139" s="153"/>
      <c r="DA139" s="153"/>
      <c r="DB139" s="62"/>
      <c r="DC139" s="62"/>
      <c r="DD139" s="62"/>
      <c r="EJ139" s="62"/>
      <c r="EK139" s="62"/>
    </row>
    <row r="140" spans="2:141" ht="44" thickBot="1" x14ac:dyDescent="0.3">
      <c r="BN140" s="69"/>
      <c r="BO140" s="866" t="s">
        <v>112</v>
      </c>
      <c r="BP140" s="155" t="s">
        <v>109</v>
      </c>
      <c r="BQ140" s="593" t="str">
        <f>IF(BQ138=1,17,"")</f>
        <v/>
      </c>
      <c r="BR140" s="594" t="str">
        <f>IF(BR138=2,16,"")</f>
        <v/>
      </c>
      <c r="BS140" s="594" t="str">
        <f>IF(BS138=3,15,"")</f>
        <v/>
      </c>
      <c r="BT140" s="594" t="str">
        <f>IF(BT138=4,14,"")</f>
        <v/>
      </c>
      <c r="BU140" s="594" t="str">
        <f>IF(BU138=5,13,"")</f>
        <v/>
      </c>
      <c r="BV140" s="594" t="str">
        <f>IF(BV138=6,12,"")</f>
        <v/>
      </c>
      <c r="BW140" s="594" t="str">
        <f>IF(BW138=7,11,"")</f>
        <v/>
      </c>
      <c r="BX140" s="594" t="str">
        <f>IF(BX138=8,10,"")</f>
        <v/>
      </c>
      <c r="BY140" s="594" t="str">
        <f>IF(BY138=9,9,"")</f>
        <v/>
      </c>
      <c r="BZ140" s="594">
        <f>IF(BZ138=10,8,"")</f>
        <v>8</v>
      </c>
      <c r="CA140" s="594" t="str">
        <f>IF(CA138=11,7,"")</f>
        <v/>
      </c>
      <c r="CB140" s="595" t="str">
        <f>IF(CB138=12,"6  ADS ","")</f>
        <v/>
      </c>
      <c r="CC140" s="594" t="str">
        <f>IF(CC138=13,5,"")</f>
        <v/>
      </c>
      <c r="CD140" s="594" t="str">
        <f>IF(CD138=14,4,"")</f>
        <v/>
      </c>
      <c r="CE140" s="594" t="str">
        <f>IF(CE138=15,3,"")</f>
        <v/>
      </c>
      <c r="CF140" s="594" t="str">
        <f>IF(CF138=16,2,"")</f>
        <v/>
      </c>
      <c r="CG140" s="594" t="str">
        <f>IF(CG138=17,1,"")</f>
        <v/>
      </c>
      <c r="CH140" s="156"/>
      <c r="CI140" s="157"/>
      <c r="CJ140" s="158"/>
      <c r="CK140" s="596" t="str">
        <f>IF(CK138=21,1,"")</f>
        <v/>
      </c>
      <c r="CL140" s="596" t="str">
        <f>IF(CL138=22,2,"")</f>
        <v/>
      </c>
      <c r="CM140" s="596" t="str">
        <f>IF(CM138=23,3,"")</f>
        <v/>
      </c>
      <c r="CN140" s="596" t="str">
        <f>IF(CN138=24,4,"")</f>
        <v/>
      </c>
      <c r="CO140" s="596" t="str">
        <f>IF(CO138=25,5,"")</f>
        <v/>
      </c>
      <c r="CP140" s="597" t="str">
        <f>IF(CP138=26,"6  ADS ","")</f>
        <v xml:space="preserve">6  ADS </v>
      </c>
      <c r="CQ140" s="596" t="str">
        <f>IF(CQ138=27,7,"")</f>
        <v/>
      </c>
      <c r="CR140" s="596" t="str">
        <f>IF(CR138=28,8,"")</f>
        <v/>
      </c>
      <c r="CS140" s="596" t="str">
        <f>IF(CS138=29,9,"")</f>
        <v/>
      </c>
      <c r="CT140" s="596" t="str">
        <f>IF(CT138=30,10,"")</f>
        <v/>
      </c>
      <c r="CU140" s="596" t="str">
        <f>IF(CU138=31,11,"")</f>
        <v/>
      </c>
      <c r="CV140" s="596" t="str">
        <f>IF(CV138=32,12,"")</f>
        <v/>
      </c>
      <c r="CW140" s="596" t="str">
        <f>IF(CW138=33,13,"")</f>
        <v/>
      </c>
      <c r="CX140" s="596" t="str">
        <f>IF(CX138=34,14,"")</f>
        <v/>
      </c>
      <c r="CY140" s="596" t="str">
        <f>IF(CY138=35,15,"")</f>
        <v/>
      </c>
      <c r="CZ140" s="596" t="str">
        <f>IF(CZ138=36,16,"")</f>
        <v/>
      </c>
      <c r="DA140" s="598" t="str">
        <f>IF(DA138=37,17,"")</f>
        <v/>
      </c>
      <c r="DB140" s="281"/>
      <c r="DC140" s="62"/>
      <c r="DD140" s="62"/>
      <c r="EJ140" s="62"/>
      <c r="EK140" s="62"/>
    </row>
    <row r="141" spans="2:141" ht="45.75" customHeight="1" thickBot="1" x14ac:dyDescent="0.3">
      <c r="D141" s="312" t="str">
        <f>IF(BL180&gt;0," ","change the angle of frame or of cabinets")</f>
        <v xml:space="preserve"> </v>
      </c>
      <c r="BL141" s="767">
        <v>6</v>
      </c>
      <c r="BM141" s="1055" t="b">
        <f>AND(BO141&gt;=10,$AZ$150&gt;=10,$BA$150&gt;=10,$AZ$173&gt;=10,$BA$173&gt;=10)</f>
        <v>1</v>
      </c>
      <c r="BN141" s="67" t="str">
        <f>IF(BM141=TRUE,"O K","OVERLOAD")</f>
        <v>O K</v>
      </c>
      <c r="BO141" s="781">
        <f>SUM(I132:M132)</f>
        <v>94.228504122497043</v>
      </c>
      <c r="BP141" s="631" t="s">
        <v>139</v>
      </c>
      <c r="BQ141" s="632">
        <v>-10</v>
      </c>
      <c r="BR141" s="632">
        <v>-9</v>
      </c>
      <c r="BS141" s="632">
        <v>-8</v>
      </c>
      <c r="BT141" s="632">
        <v>-7</v>
      </c>
      <c r="BU141" s="632">
        <v>-6</v>
      </c>
      <c r="BV141" s="632">
        <v>-5</v>
      </c>
      <c r="BW141" s="632">
        <v>-4</v>
      </c>
      <c r="BX141" s="632">
        <v>-3</v>
      </c>
      <c r="BY141" s="632">
        <v>-2</v>
      </c>
      <c r="BZ141" s="632">
        <v>-1</v>
      </c>
      <c r="CA141" s="632">
        <v>0</v>
      </c>
      <c r="CB141" s="632">
        <v>1</v>
      </c>
      <c r="CC141" s="632">
        <v>2</v>
      </c>
      <c r="CD141" s="632">
        <v>3</v>
      </c>
      <c r="CE141" s="632">
        <v>4</v>
      </c>
      <c r="CF141" s="632">
        <v>5</v>
      </c>
      <c r="CG141" s="632">
        <v>6</v>
      </c>
      <c r="CH141" s="632">
        <v>7</v>
      </c>
      <c r="CI141" s="632">
        <v>8</v>
      </c>
      <c r="CJ141" s="632">
        <v>9</v>
      </c>
      <c r="CK141" s="632">
        <v>10</v>
      </c>
      <c r="CL141" s="632">
        <v>11</v>
      </c>
      <c r="CM141" s="632">
        <v>12</v>
      </c>
      <c r="CN141" s="632">
        <v>13</v>
      </c>
      <c r="CO141" s="632">
        <v>14</v>
      </c>
      <c r="CP141" s="632">
        <v>15</v>
      </c>
      <c r="CQ141" s="632">
        <v>16</v>
      </c>
      <c r="CR141" s="632">
        <v>17</v>
      </c>
      <c r="CS141" s="632">
        <v>18</v>
      </c>
      <c r="CT141" s="632">
        <v>19</v>
      </c>
      <c r="CU141" s="632">
        <v>20</v>
      </c>
      <c r="CV141" s="632">
        <v>21</v>
      </c>
      <c r="CW141" s="632">
        <v>22</v>
      </c>
      <c r="CX141" s="632">
        <v>23</v>
      </c>
      <c r="CY141" s="632">
        <v>24</v>
      </c>
      <c r="CZ141" s="632">
        <v>25</v>
      </c>
      <c r="DA141" s="634">
        <v>26</v>
      </c>
      <c r="DB141" s="62"/>
      <c r="DC141" s="62"/>
      <c r="DD141" s="62"/>
      <c r="EJ141" s="62"/>
      <c r="EK141" s="62"/>
    </row>
    <row r="142" spans="2:141" ht="45.75" customHeight="1" thickBot="1" x14ac:dyDescent="0.25">
      <c r="B142" s="1113" t="s">
        <v>105</v>
      </c>
      <c r="D142" s="312" t="str">
        <f>IF(DD145&lt;0," ","change the angle of frame or of cabinets")</f>
        <v xml:space="preserve"> </v>
      </c>
      <c r="E142" s="191"/>
      <c r="F142" s="191"/>
      <c r="G142" s="191"/>
      <c r="V142" s="313"/>
      <c r="W142" s="313"/>
      <c r="X142" s="313"/>
      <c r="Y142" s="313"/>
      <c r="Z142" s="313"/>
      <c r="AA142" s="313"/>
      <c r="AF142" s="304"/>
      <c r="AG142" s="304"/>
      <c r="AH142" s="304"/>
      <c r="AI142" s="304"/>
      <c r="AJ142" s="304"/>
      <c r="AK142" s="304"/>
      <c r="AL142" s="304"/>
      <c r="AM142" s="304"/>
      <c r="AN142" s="304"/>
      <c r="AO142" s="304"/>
      <c r="AP142" s="304"/>
      <c r="AQ142" s="304"/>
      <c r="AR142" s="304"/>
      <c r="AS142" s="304"/>
      <c r="AT142" s="304"/>
      <c r="AU142" s="304"/>
      <c r="AV142" s="304"/>
      <c r="AW142" s="304"/>
      <c r="AX142" s="304"/>
      <c r="AY142" s="304"/>
      <c r="AZ142" s="304"/>
      <c r="BA142" s="304"/>
      <c r="BB142" s="126"/>
      <c r="BE142" s="119"/>
      <c r="BF142" s="119"/>
      <c r="BG142" s="119"/>
      <c r="BH142" s="119"/>
    </row>
    <row r="143" spans="2:141" ht="45.75" customHeight="1" thickBot="1" x14ac:dyDescent="0.25">
      <c r="B143" s="1114"/>
      <c r="C143" s="196"/>
      <c r="D143" s="312" t="str">
        <f>IF(BL180&gt;(+COS(($B$144*-1)*3.14159265358979/180)*451.5)," ","USE EXBAR AR AT THE FRONT")</f>
        <v xml:space="preserve"> </v>
      </c>
      <c r="E143" s="191"/>
      <c r="F143" s="191"/>
      <c r="G143" s="191"/>
      <c r="BE143" s="119"/>
      <c r="BF143" s="119"/>
      <c r="BG143" s="119"/>
      <c r="BH143" s="119"/>
    </row>
    <row r="144" spans="2:141" ht="45.75" customHeight="1" thickBot="1" x14ac:dyDescent="0.3">
      <c r="B144" s="2">
        <v>0</v>
      </c>
      <c r="C144" s="196"/>
      <c r="D144" s="282" t="str">
        <f>IF(DD145&lt;-(+COS(($B$144*-1)*3.14159265358979/180)*365.5)," ","USE EXBAR AR AT THE BACK")</f>
        <v xml:space="preserve"> </v>
      </c>
      <c r="E144" s="191"/>
      <c r="F144" s="191"/>
      <c r="G144" s="191"/>
      <c r="AK144" s="676" t="s">
        <v>128</v>
      </c>
      <c r="AL144" s="677"/>
      <c r="AM144" s="677"/>
      <c r="AN144" s="677"/>
      <c r="AO144" s="678" t="s">
        <v>132</v>
      </c>
      <c r="BE144" s="119"/>
      <c r="BF144" s="119"/>
      <c r="BG144" s="119"/>
      <c r="BH144" s="119"/>
      <c r="BP144" s="267"/>
      <c r="BQ144" s="267"/>
      <c r="BR144" s="267"/>
      <c r="BS144" s="267"/>
      <c r="BT144" s="267"/>
      <c r="BU144" s="267"/>
      <c r="BV144" s="1109"/>
      <c r="BW144" s="1109"/>
      <c r="BX144" s="1109"/>
      <c r="BY144" s="109"/>
      <c r="DD144" s="187" t="s">
        <v>52</v>
      </c>
    </row>
    <row r="145" spans="2:128" ht="15.75" customHeight="1" thickBot="1" x14ac:dyDescent="0.3">
      <c r="AK145" s="679" t="s">
        <v>129</v>
      </c>
      <c r="AL145" s="676" t="s">
        <v>130</v>
      </c>
      <c r="AM145" s="676" t="s">
        <v>131</v>
      </c>
      <c r="AN145" s="680" t="s">
        <v>135</v>
      </c>
      <c r="AO145" s="681" t="s">
        <v>133</v>
      </c>
      <c r="BE145" s="119"/>
      <c r="BF145" s="119"/>
      <c r="BG145" s="119"/>
      <c r="BH145" s="119"/>
      <c r="BV145" s="268"/>
      <c r="CI145" s="268"/>
      <c r="DD145" s="187">
        <f>+-BH217</f>
        <v>-811.50358728674973</v>
      </c>
    </row>
    <row r="146" spans="2:128" ht="68.25" customHeight="1" thickBot="1" x14ac:dyDescent="0.3">
      <c r="B146" s="314" t="s">
        <v>156</v>
      </c>
      <c r="C146" s="315"/>
      <c r="D146" s="26"/>
      <c r="E146" s="26"/>
      <c r="F146" s="26"/>
      <c r="G146" s="26"/>
      <c r="T146" s="170"/>
      <c r="AK146" s="679">
        <v>6.8623010000000004</v>
      </c>
      <c r="AL146" s="676">
        <f>+$B$144-AK146</f>
        <v>-6.8623010000000004</v>
      </c>
      <c r="AM146" s="682">
        <f>COS(AL146*3.14159265358979/180)</f>
        <v>0.99283617366519983</v>
      </c>
      <c r="AN146" s="683">
        <f>+AM146*378.71303</f>
        <v>375.99999562235405</v>
      </c>
      <c r="AO146" s="656">
        <f>+((AO150*AQ150)+(AN146*31))/(AQ150+31)</f>
        <v>310.99642641585325</v>
      </c>
      <c r="BE146" s="119"/>
      <c r="BF146" s="119"/>
      <c r="BG146" s="119"/>
      <c r="BH146" s="119"/>
      <c r="BP146" s="269"/>
      <c r="BQ146" s="269"/>
      <c r="BR146" s="269"/>
      <c r="BS146" s="269"/>
      <c r="BT146" s="269"/>
      <c r="BU146" s="269"/>
      <c r="BV146" s="1110"/>
      <c r="BW146" s="1110"/>
      <c r="CH146" s="1104"/>
      <c r="CI146" s="1104"/>
    </row>
    <row r="147" spans="2:128" ht="32.25" customHeight="1" thickBot="1" x14ac:dyDescent="0.3">
      <c r="B147" s="18">
        <v>1</v>
      </c>
      <c r="C147" s="199"/>
      <c r="D147" s="316" t="s">
        <v>98</v>
      </c>
      <c r="E147" s="277"/>
      <c r="F147" s="277"/>
      <c r="G147" s="277"/>
      <c r="H147" s="283" t="s">
        <v>76</v>
      </c>
      <c r="I147" s="283" t="s">
        <v>77</v>
      </c>
      <c r="J147" s="283" t="s">
        <v>78</v>
      </c>
      <c r="K147"/>
      <c r="L147"/>
      <c r="M147"/>
      <c r="N147"/>
      <c r="O147"/>
      <c r="P147" s="283" t="s">
        <v>79</v>
      </c>
      <c r="Q147" s="283" t="s">
        <v>80</v>
      </c>
      <c r="R147" s="277"/>
      <c r="S147" s="283" t="s">
        <v>81</v>
      </c>
      <c r="T147" s="317"/>
      <c r="W147" s="1117" t="s">
        <v>82</v>
      </c>
      <c r="X147" s="1117"/>
      <c r="Y147" s="1117"/>
      <c r="Z147" s="1117"/>
      <c r="AA147" s="1117"/>
      <c r="AY147" s="318"/>
      <c r="AZ147" s="1115" t="s">
        <v>46</v>
      </c>
      <c r="BA147" s="1116"/>
      <c r="BE147" s="119"/>
      <c r="BF147" s="119"/>
      <c r="BG147" s="119"/>
      <c r="BH147" s="119"/>
    </row>
    <row r="148" spans="2:128" ht="39" hidden="1" thickBot="1" x14ac:dyDescent="0.25">
      <c r="C148" s="319"/>
      <c r="D148" s="320" t="s">
        <v>13</v>
      </c>
      <c r="H148" s="288" t="s">
        <v>4</v>
      </c>
      <c r="I148" s="288" t="s">
        <v>1</v>
      </c>
      <c r="J148" s="292" t="s">
        <v>65</v>
      </c>
      <c r="K148" s="275" t="s">
        <v>2</v>
      </c>
      <c r="L148" s="275" t="s">
        <v>3</v>
      </c>
      <c r="M148" s="275" t="s">
        <v>8</v>
      </c>
      <c r="N148" s="275" t="s">
        <v>5</v>
      </c>
      <c r="O148" s="275" t="s">
        <v>6</v>
      </c>
      <c r="P148" s="275" t="s">
        <v>7</v>
      </c>
      <c r="Q148" s="275" t="s">
        <v>9</v>
      </c>
      <c r="R148" s="288" t="s">
        <v>10</v>
      </c>
      <c r="S148" s="275" t="s">
        <v>11</v>
      </c>
      <c r="T148" s="321" t="s">
        <v>12</v>
      </c>
      <c r="W148" s="288" t="s">
        <v>100</v>
      </c>
      <c r="X148" s="275" t="s">
        <v>83</v>
      </c>
      <c r="Y148" s="288" t="s">
        <v>99</v>
      </c>
      <c r="Z148" s="322" t="s">
        <v>84</v>
      </c>
      <c r="AA148" s="322" t="s">
        <v>85</v>
      </c>
      <c r="AC148" s="275" t="s">
        <v>88</v>
      </c>
      <c r="AD148" s="275"/>
      <c r="AE148" s="275"/>
      <c r="AF148" s="323"/>
      <c r="AG148" s="323"/>
      <c r="AH148" s="323"/>
      <c r="AI148" s="323"/>
      <c r="AJ148" s="323"/>
      <c r="AK148" s="323"/>
      <c r="AL148" s="323"/>
      <c r="AM148" s="323"/>
      <c r="AN148" s="323"/>
      <c r="AO148" s="323" t="s">
        <v>247</v>
      </c>
      <c r="AP148" s="960" t="s">
        <v>242</v>
      </c>
      <c r="AQ148" s="323" t="s">
        <v>268</v>
      </c>
      <c r="AR148" s="323"/>
      <c r="AS148" s="323"/>
      <c r="AT148" s="323" t="s">
        <v>247</v>
      </c>
      <c r="AU148" s="323"/>
      <c r="AV148" s="323"/>
      <c r="AW148" s="323"/>
      <c r="AX148" s="318"/>
      <c r="AY148" s="318"/>
      <c r="AZ148" s="323"/>
      <c r="BA148" s="323"/>
      <c r="BB148" s="212"/>
      <c r="BE148" s="119"/>
      <c r="BF148" s="119"/>
      <c r="BG148" s="119"/>
      <c r="BH148" s="119"/>
    </row>
    <row r="149" spans="2:128" ht="36.75" customHeight="1" thickBot="1" x14ac:dyDescent="0.25">
      <c r="B149" s="324"/>
      <c r="C149" s="325"/>
      <c r="D149" s="285" t="s">
        <v>20</v>
      </c>
      <c r="E149" s="277"/>
      <c r="F149" s="277"/>
      <c r="G149" s="221"/>
      <c r="H149" s="288"/>
      <c r="I149" s="288"/>
      <c r="J149" s="292"/>
      <c r="K149" s="275"/>
      <c r="L149" s="275"/>
      <c r="M149" s="275"/>
      <c r="N149" s="275"/>
      <c r="O149" s="275"/>
      <c r="P149" s="275"/>
      <c r="Q149" s="275"/>
      <c r="R149" s="288"/>
      <c r="S149" s="275"/>
      <c r="T149" s="321"/>
      <c r="V149" s="323"/>
      <c r="W149" s="323"/>
      <c r="X149" s="323"/>
      <c r="Y149" s="323"/>
      <c r="Z149" s="323"/>
      <c r="AA149" s="323"/>
      <c r="AB149" s="323"/>
      <c r="AC149" s="326">
        <f>SUM(AC150:AC161)</f>
        <v>334.49993130661176</v>
      </c>
      <c r="AD149" s="327"/>
      <c r="AE149" s="327"/>
      <c r="AF149" s="323" t="s">
        <v>36</v>
      </c>
      <c r="AG149" s="328" t="s">
        <v>29</v>
      </c>
      <c r="AH149" s="328"/>
      <c r="AI149" s="5" t="s">
        <v>97</v>
      </c>
      <c r="AJ149" s="329" t="s">
        <v>30</v>
      </c>
      <c r="AK149" s="4" t="s">
        <v>31</v>
      </c>
      <c r="AL149" s="3" t="s">
        <v>96</v>
      </c>
      <c r="AM149" s="330" t="s">
        <v>32</v>
      </c>
      <c r="AN149" s="4" t="s">
        <v>33</v>
      </c>
      <c r="AO149" s="331" t="s">
        <v>133</v>
      </c>
      <c r="AP149" s="981" t="s">
        <v>267</v>
      </c>
      <c r="AQ149" s="331" t="s">
        <v>238</v>
      </c>
      <c r="AR149" s="323" t="s">
        <v>44</v>
      </c>
      <c r="AS149" s="323" t="s">
        <v>37</v>
      </c>
      <c r="AT149" s="331" t="s">
        <v>269</v>
      </c>
      <c r="AU149" s="323" t="s">
        <v>270</v>
      </c>
      <c r="AV149" s="332" t="s">
        <v>39</v>
      </c>
      <c r="AW149" s="332" t="s">
        <v>40</v>
      </c>
      <c r="AX149" s="333" t="s">
        <v>21</v>
      </c>
      <c r="AY149" s="333" t="s">
        <v>22</v>
      </c>
      <c r="AZ149" s="334" t="s">
        <v>21</v>
      </c>
      <c r="BA149" s="334" t="s">
        <v>22</v>
      </c>
      <c r="BC149" s="243"/>
      <c r="BE149" s="119"/>
      <c r="BF149" s="119"/>
      <c r="BG149" s="119"/>
      <c r="BH149" s="119"/>
    </row>
    <row r="150" spans="2:128" ht="19" thickBot="1" x14ac:dyDescent="0.25">
      <c r="B150" s="232">
        <v>1</v>
      </c>
      <c r="C150" s="233">
        <f>+(B144*-1)+D150</f>
        <v>0</v>
      </c>
      <c r="D150" s="16">
        <v>0</v>
      </c>
      <c r="E150" s="335" t="s">
        <v>72</v>
      </c>
      <c r="F150" s="247"/>
      <c r="G150" s="247"/>
      <c r="H150" s="9">
        <v>414.62658399999998</v>
      </c>
      <c r="I150" s="9">
        <v>36.220413100000002</v>
      </c>
      <c r="J150" s="283">
        <f>+I150-C150</f>
        <v>36.220413100000002</v>
      </c>
      <c r="K150" s="247"/>
      <c r="L150" s="247"/>
      <c r="M150" s="247"/>
      <c r="N150" s="247"/>
      <c r="O150" s="247"/>
      <c r="P150" s="283">
        <f>COS(J150*3.14159265358979/180)</f>
        <v>0.80674984242354264</v>
      </c>
      <c r="Q150" s="283">
        <f>+P150*H150</f>
        <v>334.49993130661176</v>
      </c>
      <c r="R150" s="9">
        <v>334.5</v>
      </c>
      <c r="S150" s="283">
        <f>+Q150</f>
        <v>334.49993130661176</v>
      </c>
      <c r="T150" s="247">
        <f t="shared" ref="T150:T161" si="5">+S150</f>
        <v>334.49993130661176</v>
      </c>
      <c r="U150" s="247"/>
      <c r="V150" s="247">
        <f t="shared" ref="V150:V161" si="6">IF(B150&lt;($B$147+1),T150,0)</f>
        <v>334.49993130661176</v>
      </c>
      <c r="W150" s="8">
        <v>36.220415500000001</v>
      </c>
      <c r="X150" s="247">
        <f>+W150+AH162</f>
        <v>36.220415500000001</v>
      </c>
      <c r="Y150" s="8">
        <v>414.6266</v>
      </c>
      <c r="Z150" s="337">
        <f>+COS(X150*3.14159265358979/180)*Y150</f>
        <v>334.49993395207258</v>
      </c>
      <c r="AA150" s="338">
        <f>+AC149-Z150</f>
        <v>-2.6454608246240241E-6</v>
      </c>
      <c r="AB150" s="247"/>
      <c r="AC150" s="339">
        <f>IF(AD150=1,AF150)</f>
        <v>334.49993130661176</v>
      </c>
      <c r="AD150" s="339">
        <f t="shared" ref="AD150:AD159" si="7">MAX(AE$150:AE$161)</f>
        <v>1</v>
      </c>
      <c r="AE150" s="339">
        <f>IF(V150=0,0,1)</f>
        <v>1</v>
      </c>
      <c r="AF150" s="340">
        <f>SUM(V150:V161)/($B$147)</f>
        <v>334.49993130661176</v>
      </c>
      <c r="AG150" s="341">
        <f>+D150+C150</f>
        <v>0</v>
      </c>
      <c r="AH150" s="342">
        <f t="shared" ref="AH150:AH161" si="8">IF(B150&lt;($B$147+1),AG150)</f>
        <v>0</v>
      </c>
      <c r="AI150" s="6">
        <f>53.779595+AH150</f>
        <v>53.779595</v>
      </c>
      <c r="AJ150" s="344">
        <f>SIN(AI150*3.14159265358979/180)</f>
        <v>0.8067499259590819</v>
      </c>
      <c r="AK150" s="6">
        <f>+AJ150*414.6266</f>
        <v>334.49997885066585</v>
      </c>
      <c r="AL150" s="6">
        <f>59.2910885-AH150</f>
        <v>59.291088500000001</v>
      </c>
      <c r="AM150" s="345">
        <f>SIN(AL150*3.14159265358979/180)</f>
        <v>0.85977285389573432</v>
      </c>
      <c r="AN150" s="6">
        <f>+AM150*479.7721</f>
        <v>412.49502763654965</v>
      </c>
      <c r="AO150" s="346">
        <f t="shared" ref="AO150:AO161" si="9">+((AF150*AP150)+($AP$173*($AF$173+$AA$150)))/AQ150</f>
        <v>291.58302906131064</v>
      </c>
      <c r="AP150" s="980">
        <f>$C$10*B147</f>
        <v>72</v>
      </c>
      <c r="AQ150" s="346">
        <f t="shared" ref="AQ150:AQ161" si="10">+AP150+$AP$173+2.5</f>
        <v>103.8</v>
      </c>
      <c r="AR150" s="347">
        <f>+AN150+AK150</f>
        <v>746.99500648721551</v>
      </c>
      <c r="AS150" s="348">
        <f>+V150-AN150</f>
        <v>-77.995096329937894</v>
      </c>
      <c r="AT150" s="349">
        <f>+AO150-AS150</f>
        <v>369.57812539124853</v>
      </c>
      <c r="AU150" s="348">
        <f>+AF150-AS150</f>
        <v>412.49502763654965</v>
      </c>
      <c r="AV150" s="350">
        <f>+((AR150-AT150)/AR150)*AQ150</f>
        <v>52.444624016950307</v>
      </c>
      <c r="AW150" s="350">
        <f>+(AT150/AR150)*AQ150</f>
        <v>51.355375983049697</v>
      </c>
      <c r="AX150" s="351">
        <f t="shared" ref="AX150:AX161" si="11">2*$C$19/AV150</f>
        <v>221.18568332668062</v>
      </c>
      <c r="AY150" s="351">
        <f t="shared" ref="AY150:AY161" si="12">2*$D$19/AW150</f>
        <v>225.87703386357612</v>
      </c>
      <c r="AZ150" s="352">
        <f>ABS(AX150)</f>
        <v>221.18568332668062</v>
      </c>
      <c r="BA150" s="352">
        <f>ABS(AY150)</f>
        <v>225.87703386357612</v>
      </c>
      <c r="BB150" s="74"/>
      <c r="BC150" s="243"/>
      <c r="BE150" s="119"/>
      <c r="BF150" s="119"/>
      <c r="BG150" s="119"/>
      <c r="BH150" s="119"/>
    </row>
    <row r="151" spans="2:128" ht="19" thickBot="1" x14ac:dyDescent="0.25">
      <c r="B151" s="244">
        <v>2</v>
      </c>
      <c r="C151" s="245"/>
      <c r="D151" s="16">
        <v>0</v>
      </c>
      <c r="E151" s="234" t="s">
        <v>72</v>
      </c>
      <c r="F151" s="235"/>
      <c r="G151" s="235"/>
      <c r="H151" s="7">
        <v>479.77208100000001</v>
      </c>
      <c r="I151" s="7">
        <v>61.416098300000002</v>
      </c>
      <c r="J151" s="235">
        <f>+I151+D151</f>
        <v>61.416098300000002</v>
      </c>
      <c r="K151" s="235">
        <f t="shared" ref="K151:K161" si="13">+J151/2</f>
        <v>30.708049150000001</v>
      </c>
      <c r="L151" s="235">
        <f t="shared" ref="L151:L161" si="14">SIN(K151*3.14159265358979/180)</f>
        <v>0.51066370850547771</v>
      </c>
      <c r="M151" s="235">
        <f t="shared" ref="M151:M161" si="15">+L151*H151</f>
        <v>245.00219012085046</v>
      </c>
      <c r="N151" s="235">
        <f t="shared" ref="N151:N161" si="16">+M151*2</f>
        <v>490.00438024170091</v>
      </c>
      <c r="O151" s="235">
        <f>+C150+(D151/2)</f>
        <v>0</v>
      </c>
      <c r="P151" s="235">
        <f t="shared" ref="P151:P161" si="17">SIN(O151*3.14159265358979/180)</f>
        <v>0</v>
      </c>
      <c r="Q151" s="235">
        <f t="shared" ref="Q151:Q161" si="18">+P151*N151</f>
        <v>0</v>
      </c>
      <c r="R151" s="235">
        <f t="shared" ref="R151:R161" si="19">+T150</f>
        <v>334.49993130661176</v>
      </c>
      <c r="S151" s="235">
        <f>+R151+Q151</f>
        <v>334.49993130661176</v>
      </c>
      <c r="T151" s="235">
        <f t="shared" si="5"/>
        <v>334.49993130661176</v>
      </c>
      <c r="U151" s="235"/>
      <c r="V151" s="235">
        <f t="shared" si="6"/>
        <v>0</v>
      </c>
      <c r="W151" s="235"/>
      <c r="X151" s="235"/>
      <c r="Y151" s="235"/>
      <c r="Z151" s="235"/>
      <c r="AA151" s="235"/>
      <c r="AB151" s="235"/>
      <c r="AC151" s="339" t="b">
        <f>IF(AD151=2,AF151)</f>
        <v>0</v>
      </c>
      <c r="AD151" s="339">
        <f t="shared" si="7"/>
        <v>1</v>
      </c>
      <c r="AE151" s="339">
        <f>IF(V151=0,0,2)</f>
        <v>0</v>
      </c>
      <c r="AF151" s="340" t="e">
        <f>SUM(V151:V161)/($B$147-B150)</f>
        <v>#DIV/0!</v>
      </c>
      <c r="AG151" s="353">
        <f>SUM(D151)+$C$150</f>
        <v>0</v>
      </c>
      <c r="AH151" s="342" t="b">
        <f t="shared" si="8"/>
        <v>0</v>
      </c>
      <c r="AI151" s="6">
        <f t="shared" ref="AI151:AI161" si="20">53.779595+AH151</f>
        <v>53.779595</v>
      </c>
      <c r="AJ151" s="344">
        <f>SIN(AI151*3.14159265358979/180)</f>
        <v>0.8067499259590819</v>
      </c>
      <c r="AK151" s="6">
        <f t="shared" ref="AK151:AK161" si="21">+AJ151*414.6266</f>
        <v>334.49997885066585</v>
      </c>
      <c r="AL151" s="6">
        <f t="shared" ref="AL151:AL161" si="22">59.2910885-AH151</f>
        <v>59.291088500000001</v>
      </c>
      <c r="AM151" s="345">
        <f t="shared" ref="AM151:AM161" si="23">SIN(AL151*3.14159265358979/180)</f>
        <v>0.85977285389573432</v>
      </c>
      <c r="AN151" s="6">
        <f t="shared" ref="AN151:AN161" si="24">+AM151*479.7721</f>
        <v>412.49502763654965</v>
      </c>
      <c r="AO151" s="346" t="e">
        <f t="shared" si="9"/>
        <v>#DIV/0!</v>
      </c>
      <c r="AP151" s="980">
        <f>$C$10*($B$147-B150)</f>
        <v>0</v>
      </c>
      <c r="AQ151" s="346">
        <f t="shared" si="10"/>
        <v>31.8</v>
      </c>
      <c r="AR151" s="347">
        <f t="shared" ref="AR151:AR161" si="25">+AN151+AK151</f>
        <v>746.99500648721551</v>
      </c>
      <c r="AS151" s="348">
        <f>+V151-AN151</f>
        <v>-412.49502763654965</v>
      </c>
      <c r="AT151" s="349" t="e">
        <f t="shared" ref="AT151:AT161" si="26">+AO151-AS151</f>
        <v>#DIV/0!</v>
      </c>
      <c r="AU151" s="348" t="e">
        <f>+AF151-AS151</f>
        <v>#DIV/0!</v>
      </c>
      <c r="AV151" s="350" t="e">
        <f t="shared" ref="AV151:AV161" si="27">+((AR151-AT151)/AR151)*AQ151</f>
        <v>#DIV/0!</v>
      </c>
      <c r="AW151" s="350" t="e">
        <f t="shared" ref="AW151:AW161" si="28">+(AT151/AR151)*AQ151</f>
        <v>#DIV/0!</v>
      </c>
      <c r="AX151" s="351" t="e">
        <f t="shared" si="11"/>
        <v>#DIV/0!</v>
      </c>
      <c r="AY151" s="351" t="e">
        <f t="shared" si="12"/>
        <v>#DIV/0!</v>
      </c>
      <c r="AZ151" s="354" t="e">
        <f t="shared" ref="AZ151:BA161" si="29">ABS(AX151)</f>
        <v>#DIV/0!</v>
      </c>
      <c r="BA151" s="354" t="e">
        <f t="shared" si="29"/>
        <v>#DIV/0!</v>
      </c>
      <c r="BC151" s="243"/>
      <c r="BE151" s="119"/>
      <c r="BF151" s="119"/>
      <c r="BG151" s="119"/>
      <c r="BH151" s="119"/>
      <c r="DE151" s="267"/>
      <c r="DF151" s="267"/>
      <c r="DG151" s="267"/>
      <c r="DH151" s="267"/>
      <c r="DI151" s="267"/>
      <c r="DJ151" s="267"/>
      <c r="DK151" s="1109"/>
      <c r="DL151" s="1109"/>
      <c r="DM151" s="1109"/>
      <c r="DN151" s="109"/>
    </row>
    <row r="152" spans="2:128" ht="19" thickBot="1" x14ac:dyDescent="0.25">
      <c r="B152" s="244">
        <v>3</v>
      </c>
      <c r="C152" s="245"/>
      <c r="D152" s="16">
        <v>0</v>
      </c>
      <c r="E152" s="234" t="s">
        <v>72</v>
      </c>
      <c r="F152" s="235"/>
      <c r="G152" s="235"/>
      <c r="H152" s="7">
        <v>479.77208100000001</v>
      </c>
      <c r="I152" s="7">
        <v>61.416098300000002</v>
      </c>
      <c r="J152" s="235">
        <f t="shared" ref="J152:J161" si="30">+I152+D152</f>
        <v>61.416098300000002</v>
      </c>
      <c r="K152" s="235">
        <f t="shared" si="13"/>
        <v>30.708049150000001</v>
      </c>
      <c r="L152" s="235">
        <f t="shared" si="14"/>
        <v>0.51066370850547771</v>
      </c>
      <c r="M152" s="235">
        <f t="shared" si="15"/>
        <v>245.00219012085046</v>
      </c>
      <c r="N152" s="235">
        <f t="shared" si="16"/>
        <v>490.00438024170091</v>
      </c>
      <c r="O152" s="235">
        <f>+C150+D151+(D152/2)</f>
        <v>0</v>
      </c>
      <c r="P152" s="235">
        <f t="shared" si="17"/>
        <v>0</v>
      </c>
      <c r="Q152" s="235">
        <f t="shared" si="18"/>
        <v>0</v>
      </c>
      <c r="R152" s="235">
        <f t="shared" si="19"/>
        <v>334.49993130661176</v>
      </c>
      <c r="S152" s="235">
        <f t="shared" ref="S152:S161" si="31">+S151+Q152</f>
        <v>334.49993130661176</v>
      </c>
      <c r="T152" s="235">
        <f t="shared" si="5"/>
        <v>334.49993130661176</v>
      </c>
      <c r="U152" s="235"/>
      <c r="V152" s="235">
        <f t="shared" si="6"/>
        <v>0</v>
      </c>
      <c r="W152" s="235"/>
      <c r="X152" s="235"/>
      <c r="Y152" s="235"/>
      <c r="Z152" s="235"/>
      <c r="AA152" s="235"/>
      <c r="AB152" s="235"/>
      <c r="AC152" s="339" t="b">
        <f>IF(AD152=3,AF152)</f>
        <v>0</v>
      </c>
      <c r="AD152" s="339">
        <f t="shared" si="7"/>
        <v>1</v>
      </c>
      <c r="AE152" s="339">
        <f>IF(V152=0,0,3)</f>
        <v>0</v>
      </c>
      <c r="AF152" s="340">
        <f>SUM(V152:V161)/($B$147-B151)</f>
        <v>0</v>
      </c>
      <c r="AG152" s="353">
        <f>SUM(D151:D152)+$C$150</f>
        <v>0</v>
      </c>
      <c r="AH152" s="342" t="b">
        <f t="shared" si="8"/>
        <v>0</v>
      </c>
      <c r="AI152" s="6">
        <f t="shared" si="20"/>
        <v>53.779595</v>
      </c>
      <c r="AJ152" s="344">
        <f t="shared" ref="AJ152:AJ161" si="32">SIN(AI152*3.14159265358979/180)</f>
        <v>0.8067499259590819</v>
      </c>
      <c r="AK152" s="6">
        <f t="shared" si="21"/>
        <v>334.49997885066585</v>
      </c>
      <c r="AL152" s="6">
        <f t="shared" si="22"/>
        <v>59.291088500000001</v>
      </c>
      <c r="AM152" s="345">
        <f t="shared" si="23"/>
        <v>0.85977285389573432</v>
      </c>
      <c r="AN152" s="6">
        <f t="shared" si="24"/>
        <v>412.49502763654965</v>
      </c>
      <c r="AO152" s="346">
        <f t="shared" si="9"/>
        <v>-153.78913837034818</v>
      </c>
      <c r="AP152" s="980">
        <f t="shared" ref="AP152:AP161" si="33">$C$10*($B$147-B151)</f>
        <v>-72</v>
      </c>
      <c r="AQ152" s="346">
        <f t="shared" si="10"/>
        <v>-40.200000000000003</v>
      </c>
      <c r="AR152" s="347">
        <f t="shared" si="25"/>
        <v>746.99500648721551</v>
      </c>
      <c r="AS152" s="348">
        <f>+V152-AN152</f>
        <v>-412.49502763654965</v>
      </c>
      <c r="AT152" s="349">
        <f t="shared" si="26"/>
        <v>258.70588926620144</v>
      </c>
      <c r="AU152" s="348">
        <f>+AF152-AS152</f>
        <v>412.49502763654965</v>
      </c>
      <c r="AV152" s="350">
        <f t="shared" si="27"/>
        <v>-26.277581967505043</v>
      </c>
      <c r="AW152" s="350">
        <f t="shared" si="28"/>
        <v>-13.92241803249496</v>
      </c>
      <c r="AX152" s="351">
        <f t="shared" si="11"/>
        <v>-441.44092155604744</v>
      </c>
      <c r="AY152" s="351">
        <f t="shared" si="12"/>
        <v>-833.18860078224702</v>
      </c>
      <c r="AZ152" s="354">
        <f t="shared" si="29"/>
        <v>441.44092155604744</v>
      </c>
      <c r="BA152" s="354">
        <f t="shared" si="29"/>
        <v>833.18860078224702</v>
      </c>
      <c r="BC152" s="243"/>
      <c r="BE152" s="119"/>
      <c r="BF152" s="119"/>
      <c r="BG152" s="119"/>
      <c r="BH152" s="119"/>
      <c r="DK152" s="268"/>
      <c r="DX152" s="268"/>
    </row>
    <row r="153" spans="2:128" ht="19" thickBot="1" x14ac:dyDescent="0.25">
      <c r="B153" s="244">
        <v>4</v>
      </c>
      <c r="C153" s="245"/>
      <c r="D153" s="16">
        <v>0</v>
      </c>
      <c r="E153" s="234" t="s">
        <v>72</v>
      </c>
      <c r="F153" s="235"/>
      <c r="G153" s="235"/>
      <c r="H153" s="7">
        <v>479.77208100000001</v>
      </c>
      <c r="I153" s="7">
        <v>61.416098300000002</v>
      </c>
      <c r="J153" s="235">
        <f t="shared" si="30"/>
        <v>61.416098300000002</v>
      </c>
      <c r="K153" s="235">
        <f t="shared" si="13"/>
        <v>30.708049150000001</v>
      </c>
      <c r="L153" s="235">
        <f t="shared" si="14"/>
        <v>0.51066370850547771</v>
      </c>
      <c r="M153" s="235">
        <f t="shared" si="15"/>
        <v>245.00219012085046</v>
      </c>
      <c r="N153" s="235">
        <f t="shared" si="16"/>
        <v>490.00438024170091</v>
      </c>
      <c r="O153" s="235">
        <f>+C150+D151+D152+(D153/2)</f>
        <v>0</v>
      </c>
      <c r="P153" s="235">
        <f t="shared" si="17"/>
        <v>0</v>
      </c>
      <c r="Q153" s="235">
        <f t="shared" si="18"/>
        <v>0</v>
      </c>
      <c r="R153" s="235">
        <f t="shared" si="19"/>
        <v>334.49993130661176</v>
      </c>
      <c r="S153" s="235">
        <f t="shared" si="31"/>
        <v>334.49993130661176</v>
      </c>
      <c r="T153" s="235">
        <f t="shared" si="5"/>
        <v>334.49993130661176</v>
      </c>
      <c r="U153" s="235"/>
      <c r="V153" s="235">
        <f t="shared" si="6"/>
        <v>0</v>
      </c>
      <c r="W153" s="235"/>
      <c r="X153" s="235"/>
      <c r="Y153" s="235"/>
      <c r="Z153" s="235"/>
      <c r="AA153" s="235"/>
      <c r="AB153" s="235"/>
      <c r="AC153" s="339" t="b">
        <f>IF(AD153=4,AF153)</f>
        <v>0</v>
      </c>
      <c r="AD153" s="339">
        <f t="shared" si="7"/>
        <v>1</v>
      </c>
      <c r="AE153" s="339">
        <f>IF(V153=0,0,4)</f>
        <v>0</v>
      </c>
      <c r="AF153" s="340">
        <f>SUM(V153:V161)/($B$147-B152)</f>
        <v>0</v>
      </c>
      <c r="AG153" s="353">
        <f>SUM(D151:D153)+$C$150</f>
        <v>0</v>
      </c>
      <c r="AH153" s="342" t="b">
        <f t="shared" si="8"/>
        <v>0</v>
      </c>
      <c r="AI153" s="6">
        <f t="shared" si="20"/>
        <v>53.779595</v>
      </c>
      <c r="AJ153" s="344">
        <f t="shared" si="32"/>
        <v>0.8067499259590819</v>
      </c>
      <c r="AK153" s="6">
        <f t="shared" si="21"/>
        <v>334.49997885066585</v>
      </c>
      <c r="AL153" s="6">
        <f t="shared" si="22"/>
        <v>59.291088500000001</v>
      </c>
      <c r="AM153" s="345">
        <f t="shared" si="23"/>
        <v>0.85977285389573432</v>
      </c>
      <c r="AN153" s="6">
        <f t="shared" si="24"/>
        <v>412.49502763654965</v>
      </c>
      <c r="AO153" s="346">
        <f t="shared" si="9"/>
        <v>-55.100921234295875</v>
      </c>
      <c r="AP153" s="980">
        <f t="shared" si="33"/>
        <v>-144</v>
      </c>
      <c r="AQ153" s="346">
        <f t="shared" si="10"/>
        <v>-112.2</v>
      </c>
      <c r="AR153" s="347">
        <f t="shared" si="25"/>
        <v>746.99500648721551</v>
      </c>
      <c r="AS153" s="348">
        <f>+V153-AN153</f>
        <v>-412.49502763654965</v>
      </c>
      <c r="AT153" s="349">
        <f t="shared" si="26"/>
        <v>357.39410640225378</v>
      </c>
      <c r="AU153" s="348">
        <f t="shared" ref="AU153:AU161" si="34">+AF153-AS153</f>
        <v>412.49502763654965</v>
      </c>
      <c r="AV153" s="350">
        <f t="shared" si="27"/>
        <v>-58.51875930884264</v>
      </c>
      <c r="AW153" s="350">
        <f t="shared" si="28"/>
        <v>-53.68124069115737</v>
      </c>
      <c r="AX153" s="351">
        <f t="shared" si="11"/>
        <v>-198.22703244234964</v>
      </c>
      <c r="AY153" s="351">
        <f t="shared" si="12"/>
        <v>-216.09038559182943</v>
      </c>
      <c r="AZ153" s="354">
        <f t="shared" si="29"/>
        <v>198.22703244234964</v>
      </c>
      <c r="BA153" s="354">
        <f t="shared" si="29"/>
        <v>216.09038559182943</v>
      </c>
      <c r="BC153" s="243"/>
      <c r="BE153" s="119"/>
      <c r="BF153" s="119"/>
      <c r="BG153" s="119"/>
      <c r="BH153" s="119"/>
      <c r="DE153" s="269"/>
      <c r="DF153" s="269"/>
      <c r="DG153" s="269"/>
      <c r="DH153" s="269"/>
      <c r="DI153" s="269"/>
      <c r="DJ153" s="269"/>
      <c r="DK153" s="1110"/>
      <c r="DL153" s="1110"/>
      <c r="DW153" s="1104"/>
      <c r="DX153" s="1104"/>
    </row>
    <row r="154" spans="2:128" ht="19" thickBot="1" x14ac:dyDescent="0.25">
      <c r="B154" s="244">
        <v>5</v>
      </c>
      <c r="C154" s="245"/>
      <c r="D154" s="16">
        <v>0</v>
      </c>
      <c r="E154" s="234" t="s">
        <v>72</v>
      </c>
      <c r="F154" s="235"/>
      <c r="G154" s="235"/>
      <c r="H154" s="7">
        <v>479.77208100000001</v>
      </c>
      <c r="I154" s="7">
        <v>61.416098300000002</v>
      </c>
      <c r="J154" s="235">
        <f t="shared" si="30"/>
        <v>61.416098300000002</v>
      </c>
      <c r="K154" s="235">
        <f t="shared" si="13"/>
        <v>30.708049150000001</v>
      </c>
      <c r="L154" s="235">
        <f t="shared" si="14"/>
        <v>0.51066370850547771</v>
      </c>
      <c r="M154" s="235">
        <f t="shared" si="15"/>
        <v>245.00219012085046</v>
      </c>
      <c r="N154" s="235">
        <f t="shared" si="16"/>
        <v>490.00438024170091</v>
      </c>
      <c r="O154" s="235">
        <f>+C150+D151+D152+D153+(D154/2)</f>
        <v>0</v>
      </c>
      <c r="P154" s="235">
        <f t="shared" si="17"/>
        <v>0</v>
      </c>
      <c r="Q154" s="235">
        <f t="shared" si="18"/>
        <v>0</v>
      </c>
      <c r="R154" s="235">
        <f t="shared" si="19"/>
        <v>334.49993130661176</v>
      </c>
      <c r="S154" s="235">
        <f t="shared" si="31"/>
        <v>334.49993130661176</v>
      </c>
      <c r="T154" s="235">
        <f t="shared" si="5"/>
        <v>334.49993130661176</v>
      </c>
      <c r="U154" s="235"/>
      <c r="V154" s="235">
        <f t="shared" si="6"/>
        <v>0</v>
      </c>
      <c r="W154" s="235"/>
      <c r="X154" s="235"/>
      <c r="Y154" s="235"/>
      <c r="Z154" s="235"/>
      <c r="AA154" s="235"/>
      <c r="AB154" s="235"/>
      <c r="AC154" s="339" t="b">
        <f>IF(AD154=5,AF154)</f>
        <v>0</v>
      </c>
      <c r="AD154" s="339">
        <f t="shared" si="7"/>
        <v>1</v>
      </c>
      <c r="AE154" s="339">
        <f>IF(V154=0,0,5)</f>
        <v>0</v>
      </c>
      <c r="AF154" s="340">
        <f>SUM(V154:V161)/($B$147-B153)</f>
        <v>0</v>
      </c>
      <c r="AG154" s="353">
        <f>SUM(D151:D154)+$C$150</f>
        <v>0</v>
      </c>
      <c r="AH154" s="342" t="b">
        <f t="shared" si="8"/>
        <v>0</v>
      </c>
      <c r="AI154" s="6">
        <f t="shared" si="20"/>
        <v>53.779595</v>
      </c>
      <c r="AJ154" s="344">
        <f t="shared" si="32"/>
        <v>0.8067499259590819</v>
      </c>
      <c r="AK154" s="6">
        <f t="shared" si="21"/>
        <v>334.49997885066585</v>
      </c>
      <c r="AL154" s="6">
        <f t="shared" si="22"/>
        <v>59.291088500000001</v>
      </c>
      <c r="AM154" s="345">
        <f t="shared" si="23"/>
        <v>0.85977285389573432</v>
      </c>
      <c r="AN154" s="6">
        <f t="shared" si="24"/>
        <v>412.49502763654965</v>
      </c>
      <c r="AO154" s="346">
        <f t="shared" si="9"/>
        <v>-33.563101859326807</v>
      </c>
      <c r="AP154" s="980">
        <f t="shared" si="33"/>
        <v>-216</v>
      </c>
      <c r="AQ154" s="346">
        <f t="shared" si="10"/>
        <v>-184.2</v>
      </c>
      <c r="AR154" s="347">
        <f t="shared" si="25"/>
        <v>746.99500648721551</v>
      </c>
      <c r="AS154" s="348">
        <f t="shared" ref="AS154:AS161" si="35">+V154-AN154</f>
        <v>-412.49502763654965</v>
      </c>
      <c r="AT154" s="349">
        <f t="shared" si="26"/>
        <v>378.93192577722283</v>
      </c>
      <c r="AU154" s="348">
        <f t="shared" si="34"/>
        <v>412.49502763654965</v>
      </c>
      <c r="AV154" s="350">
        <f t="shared" si="27"/>
        <v>-90.759936650180236</v>
      </c>
      <c r="AW154" s="350">
        <f t="shared" si="28"/>
        <v>-93.440063349819752</v>
      </c>
      <c r="AX154" s="351">
        <f t="shared" si="11"/>
        <v>-127.80969696695975</v>
      </c>
      <c r="AY154" s="351">
        <f t="shared" si="12"/>
        <v>-124.14375145029669</v>
      </c>
      <c r="AZ154" s="354">
        <f t="shared" si="29"/>
        <v>127.80969696695975</v>
      </c>
      <c r="BA154" s="354">
        <f t="shared" si="29"/>
        <v>124.14375145029669</v>
      </c>
      <c r="BC154" s="243"/>
      <c r="BE154" s="119"/>
      <c r="BF154" s="119"/>
      <c r="BG154" s="119"/>
      <c r="BH154" s="119"/>
    </row>
    <row r="155" spans="2:128" ht="19" thickBot="1" x14ac:dyDescent="0.25">
      <c r="B155" s="244">
        <v>6</v>
      </c>
      <c r="C155" s="245"/>
      <c r="D155" s="16">
        <v>0</v>
      </c>
      <c r="E155" s="234" t="s">
        <v>72</v>
      </c>
      <c r="F155" s="235"/>
      <c r="G155" s="235"/>
      <c r="H155" s="7">
        <v>479.77208100000001</v>
      </c>
      <c r="I155" s="7">
        <v>61.416098300000002</v>
      </c>
      <c r="J155" s="235">
        <f t="shared" si="30"/>
        <v>61.416098300000002</v>
      </c>
      <c r="K155" s="235">
        <f t="shared" si="13"/>
        <v>30.708049150000001</v>
      </c>
      <c r="L155" s="235">
        <f t="shared" si="14"/>
        <v>0.51066370850547771</v>
      </c>
      <c r="M155" s="235">
        <f t="shared" si="15"/>
        <v>245.00219012085046</v>
      </c>
      <c r="N155" s="235">
        <f t="shared" si="16"/>
        <v>490.00438024170091</v>
      </c>
      <c r="O155" s="235">
        <f>+C150+D151+D152+D153+D154+(D155/2)</f>
        <v>0</v>
      </c>
      <c r="P155" s="235">
        <f t="shared" si="17"/>
        <v>0</v>
      </c>
      <c r="Q155" s="235">
        <f t="shared" si="18"/>
        <v>0</v>
      </c>
      <c r="R155" s="235">
        <f t="shared" si="19"/>
        <v>334.49993130661176</v>
      </c>
      <c r="S155" s="235">
        <f t="shared" si="31"/>
        <v>334.49993130661176</v>
      </c>
      <c r="T155" s="235">
        <f t="shared" si="5"/>
        <v>334.49993130661176</v>
      </c>
      <c r="U155" s="235"/>
      <c r="V155" s="235">
        <f t="shared" si="6"/>
        <v>0</v>
      </c>
      <c r="W155" s="235"/>
      <c r="X155" s="235"/>
      <c r="Y155" s="235"/>
      <c r="Z155" s="235"/>
      <c r="AA155" s="235"/>
      <c r="AB155" s="235"/>
      <c r="AC155" s="339" t="b">
        <f>IF(AD155=6,AF155)</f>
        <v>0</v>
      </c>
      <c r="AD155" s="339">
        <f t="shared" si="7"/>
        <v>1</v>
      </c>
      <c r="AE155" s="339">
        <f>IF(V155=0,0,6)</f>
        <v>0</v>
      </c>
      <c r="AF155" s="340">
        <f>SUM(V155:V161)/($B$147-B154)</f>
        <v>0</v>
      </c>
      <c r="AG155" s="353">
        <f>SUM(D151:D155)+$C$150</f>
        <v>0</v>
      </c>
      <c r="AH155" s="342" t="b">
        <f t="shared" si="8"/>
        <v>0</v>
      </c>
      <c r="AI155" s="6">
        <f t="shared" si="20"/>
        <v>53.779595</v>
      </c>
      <c r="AJ155" s="344">
        <f t="shared" si="32"/>
        <v>0.8067499259590819</v>
      </c>
      <c r="AK155" s="6">
        <f t="shared" si="21"/>
        <v>334.49997885066585</v>
      </c>
      <c r="AL155" s="6">
        <f t="shared" si="22"/>
        <v>59.291088500000001</v>
      </c>
      <c r="AM155" s="345">
        <f t="shared" si="23"/>
        <v>0.85977285389573432</v>
      </c>
      <c r="AN155" s="6">
        <f t="shared" si="24"/>
        <v>412.49502763654965</v>
      </c>
      <c r="AO155" s="346">
        <f t="shared" si="9"/>
        <v>-24.130848409398897</v>
      </c>
      <c r="AP155" s="980">
        <f t="shared" si="33"/>
        <v>-288</v>
      </c>
      <c r="AQ155" s="346">
        <f t="shared" si="10"/>
        <v>-256.2</v>
      </c>
      <c r="AR155" s="347">
        <f t="shared" si="25"/>
        <v>746.99500648721551</v>
      </c>
      <c r="AS155" s="348">
        <f t="shared" si="35"/>
        <v>-412.49502763654965</v>
      </c>
      <c r="AT155" s="349">
        <f t="shared" si="26"/>
        <v>388.36417922715077</v>
      </c>
      <c r="AU155" s="348">
        <f t="shared" si="34"/>
        <v>412.49502763654965</v>
      </c>
      <c r="AV155" s="350">
        <f t="shared" si="27"/>
        <v>-123.00111399151781</v>
      </c>
      <c r="AW155" s="350">
        <f t="shared" si="28"/>
        <v>-133.19888600848219</v>
      </c>
      <c r="AX155" s="351">
        <f t="shared" si="11"/>
        <v>-94.308088956006841</v>
      </c>
      <c r="AY155" s="351">
        <f t="shared" si="12"/>
        <v>-87.087815428586282</v>
      </c>
      <c r="AZ155" s="354">
        <f t="shared" si="29"/>
        <v>94.308088956006841</v>
      </c>
      <c r="BA155" s="354">
        <f t="shared" si="29"/>
        <v>87.087815428586282</v>
      </c>
      <c r="BC155" s="243"/>
      <c r="BE155" s="119"/>
      <c r="BF155" s="119"/>
      <c r="BG155" s="119"/>
      <c r="BH155" s="119"/>
    </row>
    <row r="156" spans="2:128" ht="19" thickBot="1" x14ac:dyDescent="0.25">
      <c r="B156" s="244">
        <v>7</v>
      </c>
      <c r="C156" s="245"/>
      <c r="D156" s="16">
        <v>0</v>
      </c>
      <c r="E156" s="234" t="s">
        <v>72</v>
      </c>
      <c r="F156" s="235"/>
      <c r="G156" s="235"/>
      <c r="H156" s="7">
        <v>479.77208100000001</v>
      </c>
      <c r="I156" s="7">
        <v>61.416098300000002</v>
      </c>
      <c r="J156" s="235">
        <f t="shared" si="30"/>
        <v>61.416098300000002</v>
      </c>
      <c r="K156" s="235">
        <f t="shared" si="13"/>
        <v>30.708049150000001</v>
      </c>
      <c r="L156" s="235">
        <f t="shared" si="14"/>
        <v>0.51066370850547771</v>
      </c>
      <c r="M156" s="235">
        <f t="shared" si="15"/>
        <v>245.00219012085046</v>
      </c>
      <c r="N156" s="235">
        <f t="shared" si="16"/>
        <v>490.00438024170091</v>
      </c>
      <c r="O156" s="235">
        <f>+C150+D151+D152+D153+D154+D155+(D156/2)</f>
        <v>0</v>
      </c>
      <c r="P156" s="235">
        <f t="shared" si="17"/>
        <v>0</v>
      </c>
      <c r="Q156" s="235">
        <f t="shared" si="18"/>
        <v>0</v>
      </c>
      <c r="R156" s="235">
        <f t="shared" si="19"/>
        <v>334.49993130661176</v>
      </c>
      <c r="S156" s="235">
        <f t="shared" si="31"/>
        <v>334.49993130661176</v>
      </c>
      <c r="T156" s="235">
        <f t="shared" si="5"/>
        <v>334.49993130661176</v>
      </c>
      <c r="U156" s="235"/>
      <c r="V156" s="235">
        <f t="shared" si="6"/>
        <v>0</v>
      </c>
      <c r="W156" s="235"/>
      <c r="X156" s="235"/>
      <c r="Y156" s="235"/>
      <c r="Z156" s="235"/>
      <c r="AA156" s="235"/>
      <c r="AB156" s="235"/>
      <c r="AC156" s="339" t="b">
        <f>IF(AD156=7,AF156)</f>
        <v>0</v>
      </c>
      <c r="AD156" s="339">
        <f t="shared" si="7"/>
        <v>1</v>
      </c>
      <c r="AE156" s="339">
        <f>IF(V156=0,0,7)</f>
        <v>0</v>
      </c>
      <c r="AF156" s="340">
        <f>SUM(V156:V161)/($B$147-B155)</f>
        <v>0</v>
      </c>
      <c r="AG156" s="353">
        <f>SUM(D151:D156)+$C$150</f>
        <v>0</v>
      </c>
      <c r="AH156" s="342" t="b">
        <f t="shared" si="8"/>
        <v>0</v>
      </c>
      <c r="AI156" s="6">
        <f t="shared" si="20"/>
        <v>53.779595</v>
      </c>
      <c r="AJ156" s="344">
        <f t="shared" si="32"/>
        <v>0.8067499259590819</v>
      </c>
      <c r="AK156" s="6">
        <f t="shared" si="21"/>
        <v>334.49997885066585</v>
      </c>
      <c r="AL156" s="6">
        <f t="shared" si="22"/>
        <v>59.291088500000001</v>
      </c>
      <c r="AM156" s="345">
        <f t="shared" si="23"/>
        <v>0.85977285389573432</v>
      </c>
      <c r="AN156" s="6">
        <f t="shared" si="24"/>
        <v>412.49502763654965</v>
      </c>
      <c r="AO156" s="346">
        <f t="shared" si="9"/>
        <v>-18.837060824155994</v>
      </c>
      <c r="AP156" s="980">
        <f t="shared" si="33"/>
        <v>-360</v>
      </c>
      <c r="AQ156" s="346">
        <f t="shared" si="10"/>
        <v>-328.2</v>
      </c>
      <c r="AR156" s="347">
        <f t="shared" si="25"/>
        <v>746.99500648721551</v>
      </c>
      <c r="AS156" s="348">
        <f t="shared" si="35"/>
        <v>-412.49502763654965</v>
      </c>
      <c r="AT156" s="349">
        <f t="shared" si="26"/>
        <v>393.65796681239368</v>
      </c>
      <c r="AU156" s="348">
        <f t="shared" si="34"/>
        <v>412.49502763654965</v>
      </c>
      <c r="AV156" s="350">
        <f t="shared" si="27"/>
        <v>-155.24229133285539</v>
      </c>
      <c r="AW156" s="350">
        <f t="shared" si="28"/>
        <v>-172.95770866714457</v>
      </c>
      <c r="AX156" s="351">
        <f t="shared" si="11"/>
        <v>-74.721906642877428</v>
      </c>
      <c r="AY156" s="351">
        <f t="shared" si="12"/>
        <v>-67.068418571178498</v>
      </c>
      <c r="AZ156" s="354">
        <f t="shared" si="29"/>
        <v>74.721906642877428</v>
      </c>
      <c r="BA156" s="354">
        <f t="shared" si="29"/>
        <v>67.068418571178498</v>
      </c>
      <c r="BC156" s="243"/>
      <c r="BE156" s="119"/>
      <c r="BF156" s="119"/>
      <c r="BG156" s="119"/>
      <c r="BH156" s="119"/>
    </row>
    <row r="157" spans="2:128" ht="19" thickBot="1" x14ac:dyDescent="0.25">
      <c r="B157" s="244">
        <v>8</v>
      </c>
      <c r="C157" s="245"/>
      <c r="D157" s="16">
        <v>0</v>
      </c>
      <c r="E157" s="234" t="s">
        <v>72</v>
      </c>
      <c r="F157" s="235"/>
      <c r="G157" s="235"/>
      <c r="H157" s="7">
        <v>479.77208100000001</v>
      </c>
      <c r="I157" s="7">
        <v>61.416098300000002</v>
      </c>
      <c r="J157" s="235">
        <f t="shared" si="30"/>
        <v>61.416098300000002</v>
      </c>
      <c r="K157" s="235">
        <f t="shared" si="13"/>
        <v>30.708049150000001</v>
      </c>
      <c r="L157" s="235">
        <f t="shared" si="14"/>
        <v>0.51066370850547771</v>
      </c>
      <c r="M157" s="235">
        <f t="shared" si="15"/>
        <v>245.00219012085046</v>
      </c>
      <c r="N157" s="235">
        <f t="shared" si="16"/>
        <v>490.00438024170091</v>
      </c>
      <c r="O157" s="235">
        <f>+C150+D151+D152+D153+D154+D155+D156+(D157/2)</f>
        <v>0</v>
      </c>
      <c r="P157" s="235">
        <f t="shared" si="17"/>
        <v>0</v>
      </c>
      <c r="Q157" s="235">
        <f t="shared" si="18"/>
        <v>0</v>
      </c>
      <c r="R157" s="235">
        <f t="shared" si="19"/>
        <v>334.49993130661176</v>
      </c>
      <c r="S157" s="235">
        <f t="shared" si="31"/>
        <v>334.49993130661176</v>
      </c>
      <c r="T157" s="235">
        <f t="shared" si="5"/>
        <v>334.49993130661176</v>
      </c>
      <c r="U157" s="235"/>
      <c r="V157" s="235">
        <f t="shared" si="6"/>
        <v>0</v>
      </c>
      <c r="W157" s="235"/>
      <c r="X157" s="235"/>
      <c r="Y157" s="235"/>
      <c r="Z157" s="235"/>
      <c r="AA157" s="235"/>
      <c r="AB157" s="235"/>
      <c r="AC157" s="339" t="b">
        <f>IF(AD157=8,AF157)</f>
        <v>0</v>
      </c>
      <c r="AD157" s="339">
        <f t="shared" si="7"/>
        <v>1</v>
      </c>
      <c r="AE157" s="339">
        <f>IF(V157=0,0,8)</f>
        <v>0</v>
      </c>
      <c r="AF157" s="340">
        <f>SUM(V157:V161)/($B$147-B156)</f>
        <v>0</v>
      </c>
      <c r="AG157" s="353">
        <f>SUM(D151:D157)+$C$150</f>
        <v>0</v>
      </c>
      <c r="AH157" s="342" t="b">
        <f t="shared" si="8"/>
        <v>0</v>
      </c>
      <c r="AI157" s="6">
        <f t="shared" si="20"/>
        <v>53.779595</v>
      </c>
      <c r="AJ157" s="344">
        <f t="shared" si="32"/>
        <v>0.8067499259590819</v>
      </c>
      <c r="AK157" s="6">
        <f t="shared" si="21"/>
        <v>334.49997885066585</v>
      </c>
      <c r="AL157" s="6">
        <f t="shared" si="22"/>
        <v>59.291088500000001</v>
      </c>
      <c r="AM157" s="345">
        <f t="shared" si="23"/>
        <v>0.85977285389573432</v>
      </c>
      <c r="AN157" s="6">
        <f t="shared" si="24"/>
        <v>412.49502763654965</v>
      </c>
      <c r="AO157" s="346">
        <f t="shared" si="9"/>
        <v>-15.448084364037976</v>
      </c>
      <c r="AP157" s="980">
        <f t="shared" si="33"/>
        <v>-432</v>
      </c>
      <c r="AQ157" s="346">
        <f t="shared" si="10"/>
        <v>-400.2</v>
      </c>
      <c r="AR157" s="347">
        <f t="shared" si="25"/>
        <v>746.99500648721551</v>
      </c>
      <c r="AS157" s="348">
        <f t="shared" si="35"/>
        <v>-412.49502763654965</v>
      </c>
      <c r="AT157" s="349">
        <f t="shared" si="26"/>
        <v>397.04694327251167</v>
      </c>
      <c r="AU157" s="348">
        <f t="shared" si="34"/>
        <v>412.49502763654965</v>
      </c>
      <c r="AV157" s="350">
        <f t="shared" si="27"/>
        <v>-187.48346867419301</v>
      </c>
      <c r="AW157" s="350">
        <f t="shared" si="28"/>
        <v>-212.71653132580698</v>
      </c>
      <c r="AX157" s="351">
        <f t="shared" si="11"/>
        <v>-61.872121750416142</v>
      </c>
      <c r="AY157" s="351">
        <f t="shared" si="12"/>
        <v>-54.532668089782248</v>
      </c>
      <c r="AZ157" s="354">
        <f t="shared" si="29"/>
        <v>61.872121750416142</v>
      </c>
      <c r="BA157" s="354">
        <f t="shared" si="29"/>
        <v>54.532668089782248</v>
      </c>
      <c r="BC157" s="243"/>
      <c r="BE157" s="119"/>
      <c r="BF157" s="119"/>
      <c r="BG157" s="119"/>
      <c r="BH157" s="119"/>
    </row>
    <row r="158" spans="2:128" ht="19" thickBot="1" x14ac:dyDescent="0.25">
      <c r="B158" s="244">
        <v>9</v>
      </c>
      <c r="C158" s="245"/>
      <c r="D158" s="16">
        <v>0</v>
      </c>
      <c r="E158" s="234" t="s">
        <v>72</v>
      </c>
      <c r="F158" s="235"/>
      <c r="G158" s="235"/>
      <c r="H158" s="7">
        <v>479.77208100000001</v>
      </c>
      <c r="I158" s="7">
        <v>61.416098300000002</v>
      </c>
      <c r="J158" s="235">
        <f t="shared" si="30"/>
        <v>61.416098300000002</v>
      </c>
      <c r="K158" s="235">
        <f t="shared" si="13"/>
        <v>30.708049150000001</v>
      </c>
      <c r="L158" s="235">
        <f t="shared" si="14"/>
        <v>0.51066370850547771</v>
      </c>
      <c r="M158" s="235">
        <f t="shared" si="15"/>
        <v>245.00219012085046</v>
      </c>
      <c r="N158" s="235">
        <f t="shared" si="16"/>
        <v>490.00438024170091</v>
      </c>
      <c r="O158" s="235">
        <f>+C150+D151+D152+D153+D154+D155+D156+D157+(D158/2)</f>
        <v>0</v>
      </c>
      <c r="P158" s="235">
        <f t="shared" si="17"/>
        <v>0</v>
      </c>
      <c r="Q158" s="235">
        <f t="shared" si="18"/>
        <v>0</v>
      </c>
      <c r="R158" s="235">
        <f t="shared" si="19"/>
        <v>334.49993130661176</v>
      </c>
      <c r="S158" s="235">
        <f t="shared" si="31"/>
        <v>334.49993130661176</v>
      </c>
      <c r="T158" s="235">
        <f t="shared" si="5"/>
        <v>334.49993130661176</v>
      </c>
      <c r="U158" s="235"/>
      <c r="V158" s="235">
        <f t="shared" si="6"/>
        <v>0</v>
      </c>
      <c r="W158" s="235"/>
      <c r="X158" s="235"/>
      <c r="Y158" s="235"/>
      <c r="Z158" s="235"/>
      <c r="AA158" s="235"/>
      <c r="AB158" s="235"/>
      <c r="AC158" s="339" t="b">
        <f>IF(AD158=9,AF158)</f>
        <v>0</v>
      </c>
      <c r="AD158" s="339">
        <f t="shared" si="7"/>
        <v>1</v>
      </c>
      <c r="AE158" s="339">
        <f>IF(V158=0,0,9)</f>
        <v>0</v>
      </c>
      <c r="AF158" s="340">
        <f>SUM(V158:V161)/($B$147-B157)</f>
        <v>0</v>
      </c>
      <c r="AG158" s="353">
        <f>SUM(D151:D158)+$C$150</f>
        <v>0</v>
      </c>
      <c r="AH158" s="342" t="b">
        <f t="shared" si="8"/>
        <v>0</v>
      </c>
      <c r="AI158" s="6">
        <f t="shared" si="20"/>
        <v>53.779595</v>
      </c>
      <c r="AJ158" s="344">
        <f t="shared" si="32"/>
        <v>0.8067499259590819</v>
      </c>
      <c r="AK158" s="6">
        <f t="shared" si="21"/>
        <v>334.49997885066585</v>
      </c>
      <c r="AL158" s="6">
        <f t="shared" si="22"/>
        <v>59.291088500000001</v>
      </c>
      <c r="AM158" s="345">
        <f t="shared" si="23"/>
        <v>0.85977285389573432</v>
      </c>
      <c r="AN158" s="6">
        <f t="shared" si="24"/>
        <v>412.49502763654965</v>
      </c>
      <c r="AO158" s="346">
        <f t="shared" si="9"/>
        <v>-13.092595007386695</v>
      </c>
      <c r="AP158" s="980">
        <f t="shared" si="33"/>
        <v>-504</v>
      </c>
      <c r="AQ158" s="346">
        <f t="shared" si="10"/>
        <v>-472.2</v>
      </c>
      <c r="AR158" s="347">
        <f t="shared" si="25"/>
        <v>746.99500648721551</v>
      </c>
      <c r="AS158" s="348">
        <f t="shared" si="35"/>
        <v>-412.49502763654965</v>
      </c>
      <c r="AT158" s="349">
        <f t="shared" si="26"/>
        <v>399.40243262916294</v>
      </c>
      <c r="AU158" s="348">
        <f t="shared" si="34"/>
        <v>412.49502763654965</v>
      </c>
      <c r="AV158" s="350">
        <f t="shared" si="27"/>
        <v>-219.7246460155306</v>
      </c>
      <c r="AW158" s="350">
        <f t="shared" si="28"/>
        <v>-252.47535398446936</v>
      </c>
      <c r="AX158" s="351">
        <f t="shared" si="11"/>
        <v>-52.793349359543797</v>
      </c>
      <c r="AY158" s="351">
        <f t="shared" si="12"/>
        <v>-45.945078665831105</v>
      </c>
      <c r="AZ158" s="354">
        <f t="shared" si="29"/>
        <v>52.793349359543797</v>
      </c>
      <c r="BA158" s="354">
        <f t="shared" si="29"/>
        <v>45.945078665831105</v>
      </c>
      <c r="BC158" s="243"/>
      <c r="BE158" s="119"/>
      <c r="BF158" s="119"/>
      <c r="BG158" s="119"/>
      <c r="BH158" s="119"/>
    </row>
    <row r="159" spans="2:128" ht="19" thickBot="1" x14ac:dyDescent="0.25">
      <c r="B159" s="244">
        <v>10</v>
      </c>
      <c r="C159" s="245"/>
      <c r="D159" s="16">
        <v>0</v>
      </c>
      <c r="E159" s="234" t="s">
        <v>72</v>
      </c>
      <c r="F159" s="235"/>
      <c r="G159" s="235"/>
      <c r="H159" s="7">
        <v>479.77208100000001</v>
      </c>
      <c r="I159" s="7">
        <v>61.416098300000002</v>
      </c>
      <c r="J159" s="235">
        <f t="shared" si="30"/>
        <v>61.416098300000002</v>
      </c>
      <c r="K159" s="235">
        <f t="shared" si="13"/>
        <v>30.708049150000001</v>
      </c>
      <c r="L159" s="235">
        <f t="shared" si="14"/>
        <v>0.51066370850547771</v>
      </c>
      <c r="M159" s="235">
        <f t="shared" si="15"/>
        <v>245.00219012085046</v>
      </c>
      <c r="N159" s="235">
        <f t="shared" si="16"/>
        <v>490.00438024170091</v>
      </c>
      <c r="O159" s="235">
        <f>+C150+D151+D152+D153+D154+D155+D156+D157+D158+(D159/2)</f>
        <v>0</v>
      </c>
      <c r="P159" s="235">
        <f t="shared" si="17"/>
        <v>0</v>
      </c>
      <c r="Q159" s="235">
        <f t="shared" si="18"/>
        <v>0</v>
      </c>
      <c r="R159" s="235">
        <f t="shared" si="19"/>
        <v>334.49993130661176</v>
      </c>
      <c r="S159" s="235">
        <f t="shared" si="31"/>
        <v>334.49993130661176</v>
      </c>
      <c r="T159" s="235">
        <f t="shared" si="5"/>
        <v>334.49993130661176</v>
      </c>
      <c r="U159" s="235"/>
      <c r="V159" s="235">
        <f t="shared" si="6"/>
        <v>0</v>
      </c>
      <c r="W159" s="235"/>
      <c r="X159" s="235"/>
      <c r="Y159" s="235"/>
      <c r="Z159" s="235"/>
      <c r="AA159" s="235"/>
      <c r="AB159" s="235"/>
      <c r="AC159" s="339" t="b">
        <f>IF(AD159=10,AF159)</f>
        <v>0</v>
      </c>
      <c r="AD159" s="339">
        <f t="shared" si="7"/>
        <v>1</v>
      </c>
      <c r="AE159" s="339">
        <f>IF(V159=0,0,10)</f>
        <v>0</v>
      </c>
      <c r="AF159" s="340">
        <f>SUM(V159:V161)/($B$147-B158)</f>
        <v>0</v>
      </c>
      <c r="AG159" s="353">
        <f>SUM(D151:D159)+$C$150</f>
        <v>0</v>
      </c>
      <c r="AH159" s="342" t="b">
        <f t="shared" si="8"/>
        <v>0</v>
      </c>
      <c r="AI159" s="6">
        <f t="shared" si="20"/>
        <v>53.779595</v>
      </c>
      <c r="AJ159" s="344">
        <f t="shared" si="32"/>
        <v>0.8067499259590819</v>
      </c>
      <c r="AK159" s="6">
        <f t="shared" si="21"/>
        <v>334.49997885066585</v>
      </c>
      <c r="AL159" s="6">
        <f t="shared" si="22"/>
        <v>59.291088500000001</v>
      </c>
      <c r="AM159" s="345">
        <f t="shared" si="23"/>
        <v>0.85977285389573432</v>
      </c>
      <c r="AN159" s="6">
        <f t="shared" si="24"/>
        <v>412.49502763654965</v>
      </c>
      <c r="AO159" s="346">
        <f t="shared" si="9"/>
        <v>-11.360388391194409</v>
      </c>
      <c r="AP159" s="980">
        <f t="shared" si="33"/>
        <v>-576</v>
      </c>
      <c r="AQ159" s="346">
        <f t="shared" si="10"/>
        <v>-544.20000000000005</v>
      </c>
      <c r="AR159" s="347">
        <f t="shared" si="25"/>
        <v>746.99500648721551</v>
      </c>
      <c r="AS159" s="348">
        <f t="shared" si="35"/>
        <v>-412.49502763654965</v>
      </c>
      <c r="AT159" s="349">
        <f t="shared" si="26"/>
        <v>401.13463924535523</v>
      </c>
      <c r="AU159" s="348">
        <f t="shared" si="34"/>
        <v>412.49502763654965</v>
      </c>
      <c r="AV159" s="350">
        <f t="shared" si="27"/>
        <v>-251.96582335686824</v>
      </c>
      <c r="AW159" s="350">
        <f t="shared" si="28"/>
        <v>-292.23417664313183</v>
      </c>
      <c r="AX159" s="351">
        <f t="shared" si="11"/>
        <v>-46.037989777567979</v>
      </c>
      <c r="AY159" s="351">
        <f t="shared" si="12"/>
        <v>-39.694193654035182</v>
      </c>
      <c r="AZ159" s="354">
        <f t="shared" si="29"/>
        <v>46.037989777567979</v>
      </c>
      <c r="BA159" s="354">
        <f t="shared" si="29"/>
        <v>39.694193654035182</v>
      </c>
      <c r="BC159" s="243"/>
      <c r="BE159" s="119"/>
      <c r="BF159" s="119"/>
      <c r="BG159" s="119"/>
      <c r="BH159" s="119"/>
    </row>
    <row r="160" spans="2:128" ht="19" hidden="1" thickBot="1" x14ac:dyDescent="0.25">
      <c r="B160" s="244">
        <v>11</v>
      </c>
      <c r="C160" s="245"/>
      <c r="D160" s="16">
        <v>0</v>
      </c>
      <c r="E160" s="234" t="s">
        <v>72</v>
      </c>
      <c r="F160" s="235"/>
      <c r="G160" s="235"/>
      <c r="H160" s="7">
        <v>479.77208100000001</v>
      </c>
      <c r="I160" s="7">
        <v>61.416098300000002</v>
      </c>
      <c r="J160" s="235">
        <f t="shared" si="30"/>
        <v>61.416098300000002</v>
      </c>
      <c r="K160" s="235">
        <f t="shared" si="13"/>
        <v>30.708049150000001</v>
      </c>
      <c r="L160" s="235">
        <f t="shared" si="14"/>
        <v>0.51066370850547771</v>
      </c>
      <c r="M160" s="235">
        <f t="shared" si="15"/>
        <v>245.00219012085046</v>
      </c>
      <c r="N160" s="235">
        <f t="shared" si="16"/>
        <v>490.00438024170091</v>
      </c>
      <c r="O160" s="235">
        <f>+C150+D151+D152+D153+D154+D155+D156+D157+D158+D159+(D160/2)</f>
        <v>0</v>
      </c>
      <c r="P160" s="235">
        <f t="shared" si="17"/>
        <v>0</v>
      </c>
      <c r="Q160" s="235">
        <f t="shared" si="18"/>
        <v>0</v>
      </c>
      <c r="R160" s="235">
        <f t="shared" si="19"/>
        <v>334.49993130661176</v>
      </c>
      <c r="S160" s="235">
        <f t="shared" si="31"/>
        <v>334.49993130661176</v>
      </c>
      <c r="T160" s="235">
        <f t="shared" si="5"/>
        <v>334.49993130661176</v>
      </c>
      <c r="U160" s="235"/>
      <c r="V160" s="235">
        <f t="shared" si="6"/>
        <v>0</v>
      </c>
      <c r="W160" s="235"/>
      <c r="X160" s="235"/>
      <c r="Y160" s="235"/>
      <c r="Z160" s="235"/>
      <c r="AA160" s="235"/>
      <c r="AB160" s="235"/>
      <c r="AC160" s="339" t="b">
        <f>IF(AD160=11,AF160)</f>
        <v>0</v>
      </c>
      <c r="AD160" s="339">
        <f t="shared" ref="AD160:AD161" si="36">MAX(AE$150:AE$161)</f>
        <v>1</v>
      </c>
      <c r="AE160" s="339">
        <f>IF(V160=0,0,11)</f>
        <v>0</v>
      </c>
      <c r="AF160" s="340">
        <f>SUM(V160:V161)/($B$147-B159)</f>
        <v>0</v>
      </c>
      <c r="AG160" s="353">
        <f>SUM(D151:D160)+$C$150</f>
        <v>0</v>
      </c>
      <c r="AH160" s="342" t="b">
        <f t="shared" si="8"/>
        <v>0</v>
      </c>
      <c r="AI160" s="6">
        <f t="shared" si="20"/>
        <v>53.779595</v>
      </c>
      <c r="AJ160" s="344">
        <f t="shared" si="32"/>
        <v>0.8067499259590819</v>
      </c>
      <c r="AK160" s="6">
        <f t="shared" si="21"/>
        <v>334.49997885066585</v>
      </c>
      <c r="AL160" s="6">
        <f t="shared" si="22"/>
        <v>59.291088500000001</v>
      </c>
      <c r="AM160" s="345">
        <f t="shared" si="23"/>
        <v>0.85977285389573432</v>
      </c>
      <c r="AN160" s="6">
        <f t="shared" si="24"/>
        <v>412.49502763654965</v>
      </c>
      <c r="AO160" s="346">
        <f t="shared" si="9"/>
        <v>-10.032981763206747</v>
      </c>
      <c r="AP160" s="980">
        <f t="shared" si="33"/>
        <v>-648</v>
      </c>
      <c r="AQ160" s="346">
        <f t="shared" si="10"/>
        <v>-616.20000000000005</v>
      </c>
      <c r="AR160" s="347">
        <f t="shared" si="25"/>
        <v>746.99500648721551</v>
      </c>
      <c r="AS160" s="348">
        <f t="shared" si="35"/>
        <v>-412.49502763654965</v>
      </c>
      <c r="AT160" s="349">
        <f t="shared" si="26"/>
        <v>402.4620458733429</v>
      </c>
      <c r="AU160" s="348">
        <f t="shared" si="34"/>
        <v>412.49502763654965</v>
      </c>
      <c r="AV160" s="350">
        <f t="shared" si="27"/>
        <v>-284.20700069820583</v>
      </c>
      <c r="AW160" s="350">
        <f t="shared" si="28"/>
        <v>-331.99299930179421</v>
      </c>
      <c r="AX160" s="351">
        <f t="shared" si="11"/>
        <v>-40.815321126863537</v>
      </c>
      <c r="AY160" s="351">
        <f t="shared" si="12"/>
        <v>-34.94049580682622</v>
      </c>
      <c r="AZ160" s="354">
        <f t="shared" si="29"/>
        <v>40.815321126863537</v>
      </c>
      <c r="BA160" s="354">
        <f t="shared" si="29"/>
        <v>34.94049580682622</v>
      </c>
      <c r="BC160" s="243"/>
      <c r="BE160" s="119"/>
      <c r="BF160" s="119"/>
      <c r="BG160" s="119"/>
      <c r="BH160" s="119"/>
    </row>
    <row r="161" spans="2:133" ht="19" hidden="1" thickBot="1" x14ac:dyDescent="0.25">
      <c r="B161" s="244">
        <v>12</v>
      </c>
      <c r="C161" s="245"/>
      <c r="D161" s="16">
        <v>0</v>
      </c>
      <c r="E161" s="234" t="s">
        <v>72</v>
      </c>
      <c r="F161" s="235"/>
      <c r="G161" s="235"/>
      <c r="H161" s="7">
        <v>479.77208100000001</v>
      </c>
      <c r="I161" s="7">
        <v>61.416098300000002</v>
      </c>
      <c r="J161" s="235">
        <f t="shared" si="30"/>
        <v>61.416098300000002</v>
      </c>
      <c r="K161" s="235">
        <f t="shared" si="13"/>
        <v>30.708049150000001</v>
      </c>
      <c r="L161" s="235">
        <f t="shared" si="14"/>
        <v>0.51066370850547771</v>
      </c>
      <c r="M161" s="235">
        <f t="shared" si="15"/>
        <v>245.00219012085046</v>
      </c>
      <c r="N161" s="235">
        <f t="shared" si="16"/>
        <v>490.00438024170091</v>
      </c>
      <c r="O161" s="235">
        <f>+C150+D151+D152+D153+D154+D155+D156+D157+D158+D159+D160+(D161/2)</f>
        <v>0</v>
      </c>
      <c r="P161" s="235">
        <f t="shared" si="17"/>
        <v>0</v>
      </c>
      <c r="Q161" s="235">
        <f t="shared" si="18"/>
        <v>0</v>
      </c>
      <c r="R161" s="235">
        <f t="shared" si="19"/>
        <v>334.49993130661176</v>
      </c>
      <c r="S161" s="235">
        <f t="shared" si="31"/>
        <v>334.49993130661176</v>
      </c>
      <c r="T161" s="235">
        <f t="shared" si="5"/>
        <v>334.49993130661176</v>
      </c>
      <c r="U161" s="235"/>
      <c r="V161" s="235">
        <f t="shared" si="6"/>
        <v>0</v>
      </c>
      <c r="W161" s="235"/>
      <c r="X161" s="235"/>
      <c r="Y161" s="235"/>
      <c r="Z161" s="235"/>
      <c r="AA161" s="235"/>
      <c r="AB161" s="235"/>
      <c r="AC161" s="339" t="b">
        <f>IF(AD161=12,AF161)</f>
        <v>0</v>
      </c>
      <c r="AD161" s="339">
        <f t="shared" si="36"/>
        <v>1</v>
      </c>
      <c r="AE161" s="339">
        <f>IF(V161=0,0,12)</f>
        <v>0</v>
      </c>
      <c r="AF161" s="340">
        <f>SUM(V161)/($B$147-B160)</f>
        <v>0</v>
      </c>
      <c r="AG161" s="353">
        <f>SUM(D151:D161)+$C$150</f>
        <v>0</v>
      </c>
      <c r="AH161" s="342" t="b">
        <f t="shared" si="8"/>
        <v>0</v>
      </c>
      <c r="AI161" s="6">
        <f t="shared" si="20"/>
        <v>53.779595</v>
      </c>
      <c r="AJ161" s="344">
        <f t="shared" si="32"/>
        <v>0.8067499259590819</v>
      </c>
      <c r="AK161" s="6">
        <f t="shared" si="21"/>
        <v>334.49997885066585</v>
      </c>
      <c r="AL161" s="6">
        <f t="shared" si="22"/>
        <v>59.291088500000001</v>
      </c>
      <c r="AM161" s="345">
        <f t="shared" si="23"/>
        <v>0.85977285389573432</v>
      </c>
      <c r="AN161" s="6">
        <f t="shared" si="24"/>
        <v>412.49502763654965</v>
      </c>
      <c r="AO161" s="346">
        <f t="shared" si="9"/>
        <v>-8.9833236885905219</v>
      </c>
      <c r="AP161" s="980">
        <f t="shared" si="33"/>
        <v>-720</v>
      </c>
      <c r="AQ161" s="346">
        <f t="shared" si="10"/>
        <v>-688.2</v>
      </c>
      <c r="AR161" s="347">
        <f t="shared" si="25"/>
        <v>746.99500648721551</v>
      </c>
      <c r="AS161" s="348">
        <f t="shared" si="35"/>
        <v>-412.49502763654965</v>
      </c>
      <c r="AT161" s="349">
        <f t="shared" si="26"/>
        <v>403.51170394795912</v>
      </c>
      <c r="AU161" s="348">
        <f t="shared" si="34"/>
        <v>412.49502763654965</v>
      </c>
      <c r="AV161" s="350">
        <f t="shared" si="27"/>
        <v>-316.44817803954339</v>
      </c>
      <c r="AW161" s="350">
        <f t="shared" si="28"/>
        <v>-371.7518219604566</v>
      </c>
      <c r="AX161" s="351">
        <f t="shared" si="11"/>
        <v>-36.656870871762337</v>
      </c>
      <c r="AY161" s="351">
        <f t="shared" si="12"/>
        <v>-31.203613041697203</v>
      </c>
      <c r="AZ161" s="354">
        <f t="shared" si="29"/>
        <v>36.656870871762337</v>
      </c>
      <c r="BA161" s="354">
        <f t="shared" si="29"/>
        <v>31.203613041697203</v>
      </c>
      <c r="BC161" s="243"/>
      <c r="BE161" s="119"/>
      <c r="BF161" s="119"/>
      <c r="BG161" s="119"/>
      <c r="BH161" s="119"/>
    </row>
    <row r="162" spans="2:133" ht="19" hidden="1" thickBot="1" x14ac:dyDescent="0.25">
      <c r="U162" s="243"/>
      <c r="AG162" s="355" t="s">
        <v>71</v>
      </c>
      <c r="AH162" s="356">
        <f>MAX(AH150:AH161)</f>
        <v>0</v>
      </c>
      <c r="BC162" s="243"/>
      <c r="BE162" s="119"/>
      <c r="BF162" s="119"/>
      <c r="BG162" s="119"/>
      <c r="BH162" s="119"/>
    </row>
    <row r="163" spans="2:133" hidden="1" x14ac:dyDescent="0.2">
      <c r="U163" s="243"/>
      <c r="AG163" s="655"/>
      <c r="AH163" s="342"/>
      <c r="BC163" s="243"/>
      <c r="BE163" s="119"/>
      <c r="BF163" s="119"/>
      <c r="BG163" s="119"/>
      <c r="BH163" s="119"/>
    </row>
    <row r="164" spans="2:133" hidden="1" x14ac:dyDescent="0.2">
      <c r="U164" s="243"/>
      <c r="AG164" s="655"/>
      <c r="AH164" s="342"/>
      <c r="BC164" s="243"/>
      <c r="BE164" s="119"/>
      <c r="BF164" s="119"/>
      <c r="BG164" s="119"/>
      <c r="BH164" s="119"/>
    </row>
    <row r="165" spans="2:133" hidden="1" x14ac:dyDescent="0.2">
      <c r="B165" s="286"/>
      <c r="U165" s="243"/>
      <c r="AV165" s="360" t="s">
        <v>310</v>
      </c>
      <c r="AW165" s="360"/>
      <c r="AX165" s="360"/>
      <c r="AY165" s="360"/>
      <c r="BC165" s="243"/>
      <c r="BE165" s="119"/>
      <c r="BF165" s="119"/>
      <c r="BG165" s="119"/>
      <c r="BH165" s="119"/>
      <c r="BI165" s="119"/>
      <c r="BK165" s="119"/>
      <c r="BL165" s="119"/>
      <c r="BP165" s="109"/>
      <c r="BR165" s="109"/>
      <c r="BT165" s="109"/>
    </row>
    <row r="166" spans="2:133" hidden="1" x14ac:dyDescent="0.2">
      <c r="B166" s="286"/>
      <c r="AB166" s="318"/>
      <c r="AC166" s="318"/>
      <c r="AD166" s="318"/>
      <c r="AE166" s="318"/>
      <c r="AV166" s="1059" t="s">
        <v>311</v>
      </c>
      <c r="AW166" s="360" t="s">
        <v>315</v>
      </c>
      <c r="AX166" s="1059" t="s">
        <v>316</v>
      </c>
      <c r="AY166" s="360"/>
      <c r="BE166" s="119"/>
      <c r="BF166" s="119"/>
      <c r="BG166" s="119"/>
      <c r="BH166" s="119"/>
      <c r="BI166" s="119"/>
      <c r="BJ166" s="119"/>
      <c r="BK166" s="119"/>
      <c r="BL166" s="119"/>
      <c r="BP166" s="109"/>
      <c r="BT166" s="109"/>
    </row>
    <row r="167" spans="2:133" hidden="1" x14ac:dyDescent="0.2">
      <c r="V167" s="170"/>
      <c r="W167" s="170"/>
      <c r="X167" s="170"/>
      <c r="Y167" s="170"/>
      <c r="Z167" s="170"/>
      <c r="AA167" s="170"/>
      <c r="AB167" s="170"/>
      <c r="AC167" s="170"/>
      <c r="AD167" s="170"/>
      <c r="AE167" s="170"/>
      <c r="AF167" s="170"/>
      <c r="AG167" s="170"/>
      <c r="AH167" s="170"/>
      <c r="AI167" s="170"/>
      <c r="AJ167" s="170"/>
      <c r="AK167" s="170"/>
      <c r="AL167" s="170"/>
      <c r="AM167" s="170"/>
      <c r="AN167" s="170"/>
      <c r="AO167" s="170"/>
      <c r="AP167" s="170"/>
      <c r="AQ167" s="170"/>
      <c r="AR167" s="170"/>
      <c r="AS167" s="170"/>
      <c r="AT167" s="170"/>
      <c r="AU167" s="170"/>
      <c r="AV167" s="187">
        <v>25.873000000000001</v>
      </c>
      <c r="AW167" s="360">
        <f>+SIN((AV167+AH162)*3.14159265358979/180)</f>
        <v>0.43637783326748053</v>
      </c>
      <c r="AX167" s="187">
        <f>+AW173/AW167</f>
        <v>28.772952032779898</v>
      </c>
      <c r="AY167" s="187"/>
      <c r="AZ167" s="170"/>
      <c r="BA167" s="170"/>
      <c r="BB167" s="109"/>
      <c r="BE167" s="119"/>
      <c r="BF167" s="119"/>
      <c r="BG167" s="119"/>
      <c r="BH167" s="119"/>
      <c r="BI167" s="119"/>
      <c r="BJ167" s="119"/>
      <c r="BK167" s="119"/>
      <c r="BL167" s="119"/>
      <c r="BP167" s="109"/>
      <c r="BQ167" s="273"/>
      <c r="BR167" s="273"/>
      <c r="BS167" s="273"/>
      <c r="BT167" s="273"/>
      <c r="BU167" s="273"/>
      <c r="BV167" s="273"/>
      <c r="BW167" s="273"/>
      <c r="BX167" s="273"/>
      <c r="BY167" s="273"/>
      <c r="BZ167" s="273"/>
      <c r="CA167" s="273"/>
      <c r="CB167" s="273"/>
      <c r="CC167" s="273"/>
      <c r="CD167" s="273"/>
      <c r="CE167" s="273"/>
      <c r="CF167" s="273"/>
      <c r="CG167" s="273"/>
      <c r="CH167" s="273"/>
      <c r="CI167" s="273"/>
      <c r="CJ167" s="273"/>
      <c r="CK167" s="273"/>
      <c r="CL167" s="273"/>
      <c r="CM167" s="273"/>
      <c r="CN167" s="273"/>
    </row>
    <row r="168" spans="2:133" ht="19" thickBot="1" x14ac:dyDescent="0.25">
      <c r="V168" s="170"/>
      <c r="W168" s="170"/>
      <c r="X168" s="170"/>
      <c r="Y168" s="170"/>
      <c r="Z168" s="170"/>
      <c r="AA168" s="170"/>
      <c r="AB168" s="170"/>
      <c r="AC168" s="170"/>
      <c r="AD168" s="170"/>
      <c r="AE168" s="170"/>
      <c r="AF168" s="170"/>
      <c r="AG168" s="170"/>
      <c r="AH168" s="170"/>
      <c r="AI168" s="170"/>
      <c r="AJ168" s="170"/>
      <c r="AK168" s="170"/>
      <c r="AL168" s="170"/>
      <c r="AM168" s="170"/>
      <c r="AN168" s="170"/>
      <c r="AO168" s="170"/>
      <c r="AP168" s="170"/>
      <c r="AQ168" s="170"/>
      <c r="AR168" s="170"/>
      <c r="AS168" s="170"/>
      <c r="AT168" s="170"/>
      <c r="AU168" s="170"/>
      <c r="AV168" s="187"/>
      <c r="AW168" s="360"/>
      <c r="AX168" s="187"/>
      <c r="AY168" s="187"/>
      <c r="AZ168" s="170"/>
      <c r="BA168" s="170"/>
      <c r="BB168" s="109"/>
      <c r="BE168" s="119"/>
      <c r="BF168" s="119"/>
      <c r="BG168" s="119"/>
      <c r="BH168" s="119"/>
      <c r="BI168" s="119"/>
      <c r="BJ168" s="119"/>
      <c r="BK168" s="119"/>
      <c r="BL168" s="119"/>
      <c r="BP168" s="109"/>
    </row>
    <row r="169" spans="2:133" ht="64.5" customHeight="1" thickBot="1" x14ac:dyDescent="0.25">
      <c r="B169" s="284" t="s">
        <v>260</v>
      </c>
      <c r="C169" s="357"/>
      <c r="D169" s="358"/>
      <c r="E169" s="170"/>
      <c r="F169" s="26"/>
      <c r="G169" s="26"/>
      <c r="H169" s="359"/>
      <c r="I169" s="359"/>
      <c r="J169" s="359"/>
      <c r="K169" s="359"/>
      <c r="L169" s="359"/>
      <c r="M169" s="359"/>
      <c r="N169" s="359"/>
      <c r="O169" s="359"/>
      <c r="P169" s="359"/>
      <c r="Q169" s="359"/>
      <c r="R169" s="359"/>
      <c r="S169" s="360" t="s">
        <v>239</v>
      </c>
      <c r="T169" s="360">
        <f>SUM(V173:V178)/B170</f>
        <v>211.0008</v>
      </c>
      <c r="U169" s="195"/>
      <c r="V169" s="170"/>
      <c r="W169" s="170"/>
      <c r="X169" s="170"/>
      <c r="Y169" s="170"/>
      <c r="Z169" s="170"/>
      <c r="AA169" s="170"/>
      <c r="AB169" s="170"/>
      <c r="AC169" s="170"/>
      <c r="AD169" s="170"/>
      <c r="AE169" s="170"/>
      <c r="AF169" s="170"/>
      <c r="AG169" s="170"/>
      <c r="AH169" s="170"/>
      <c r="AI169" s="170"/>
      <c r="AJ169" s="170"/>
      <c r="AK169" s="170"/>
      <c r="AL169" s="170"/>
      <c r="AM169" s="170"/>
      <c r="AN169" s="170"/>
      <c r="AO169" s="170"/>
      <c r="AP169" s="170"/>
      <c r="AQ169" s="170"/>
      <c r="AR169" s="170"/>
      <c r="AS169" s="170"/>
      <c r="AT169" s="170"/>
      <c r="AU169" s="170"/>
      <c r="AV169" s="187"/>
      <c r="AW169" s="187"/>
      <c r="AX169" s="1060" t="s">
        <v>313</v>
      </c>
      <c r="AY169" s="1061">
        <v>1800</v>
      </c>
      <c r="AZ169" s="170"/>
      <c r="BA169" s="170"/>
      <c r="BB169" s="109"/>
      <c r="BC169" s="361"/>
      <c r="BD169" s="361"/>
      <c r="BE169" s="119"/>
      <c r="BF169" s="119"/>
      <c r="BG169" s="119"/>
      <c r="BH169" s="119"/>
      <c r="BI169" s="119"/>
      <c r="BJ169" s="119"/>
      <c r="BK169" s="119"/>
      <c r="BL169" s="119"/>
      <c r="BP169" s="216"/>
      <c r="BQ169" s="274"/>
      <c r="BR169" s="274"/>
      <c r="BS169" s="274"/>
      <c r="BT169" s="274"/>
      <c r="BU169" s="274"/>
      <c r="BV169" s="274"/>
      <c r="BW169" s="274"/>
      <c r="BX169" s="274"/>
      <c r="BY169" s="274"/>
      <c r="BZ169" s="274"/>
      <c r="CA169" s="274"/>
      <c r="CB169" s="274"/>
      <c r="CC169" s="274"/>
      <c r="CD169" s="274"/>
      <c r="CE169" s="274"/>
      <c r="CF169" s="274"/>
      <c r="CG169" s="274"/>
      <c r="CH169" s="274"/>
      <c r="CI169" s="274"/>
      <c r="CJ169" s="274"/>
      <c r="CK169" s="274"/>
      <c r="CL169" s="274"/>
      <c r="CM169" s="274"/>
      <c r="CN169" s="274"/>
    </row>
    <row r="170" spans="2:133" ht="29" thickBot="1" x14ac:dyDescent="0.3">
      <c r="B170" s="17">
        <v>1</v>
      </c>
      <c r="C170" s="199"/>
      <c r="D170" s="362" t="s">
        <v>214</v>
      </c>
      <c r="E170" s="277"/>
      <c r="F170" s="277"/>
      <c r="G170" s="277"/>
      <c r="H170" s="902" t="s">
        <v>227</v>
      </c>
      <c r="I170" s="902" t="s">
        <v>216</v>
      </c>
      <c r="J170" s="363"/>
      <c r="K170" s="363"/>
      <c r="L170" s="363"/>
      <c r="M170" s="363"/>
      <c r="N170" s="363"/>
      <c r="O170" s="363"/>
      <c r="P170" s="363"/>
      <c r="Q170" s="363"/>
      <c r="R170" s="363"/>
      <c r="S170" s="364"/>
      <c r="T170" s="365"/>
      <c r="U170" s="304"/>
      <c r="V170" s="366"/>
      <c r="W170" s="366"/>
      <c r="X170" s="366"/>
      <c r="Y170" s="366"/>
      <c r="Z170" s="366"/>
      <c r="AA170" s="366"/>
      <c r="AC170" s="366"/>
      <c r="AD170" s="366"/>
      <c r="AE170" s="366"/>
      <c r="AF170" s="366"/>
      <c r="AG170" s="366"/>
      <c r="AH170" s="366"/>
      <c r="AI170" s="366"/>
      <c r="AJ170" s="366"/>
      <c r="AK170" s="366"/>
      <c r="AL170" s="366"/>
      <c r="AM170" s="366"/>
      <c r="AN170" s="366"/>
      <c r="AO170" s="366"/>
      <c r="AP170" s="366"/>
      <c r="AQ170" s="366"/>
      <c r="AR170" s="366"/>
      <c r="AS170" s="366"/>
      <c r="AT170" s="366"/>
      <c r="AU170" s="366"/>
      <c r="AV170" s="1063"/>
      <c r="AW170" s="1063"/>
      <c r="AX170" s="1060" t="s">
        <v>314</v>
      </c>
      <c r="AY170" s="1062">
        <f>+AY169/SIN((AV167)*3.14159265358979/180)</f>
        <v>4124.8657992595117</v>
      </c>
      <c r="AZ170" s="1115" t="s">
        <v>46</v>
      </c>
      <c r="BA170" s="1116"/>
      <c r="BB170" s="201"/>
      <c r="BC170" s="127"/>
      <c r="BD170" s="127"/>
      <c r="BE170" s="119"/>
      <c r="BF170" s="119"/>
      <c r="BG170" s="119"/>
      <c r="BH170" s="119"/>
      <c r="BI170" s="119"/>
      <c r="BJ170" s="119"/>
      <c r="BK170" s="119"/>
      <c r="BL170" s="119"/>
      <c r="BP170" s="109"/>
      <c r="BQ170" s="186"/>
      <c r="BR170" s="186"/>
      <c r="BS170" s="186"/>
      <c r="BT170" s="186"/>
      <c r="BU170" s="186"/>
      <c r="BV170" s="186"/>
      <c r="BW170" s="186"/>
      <c r="BX170" s="186"/>
      <c r="BY170" s="186"/>
      <c r="BZ170" s="186"/>
      <c r="CA170" s="186"/>
      <c r="CB170" s="186"/>
      <c r="CC170" s="186"/>
      <c r="CD170" s="186"/>
      <c r="CE170" s="186"/>
      <c r="CF170" s="186"/>
      <c r="CG170" s="186"/>
      <c r="CH170" s="186"/>
      <c r="CI170" s="186"/>
      <c r="CJ170" s="186"/>
      <c r="CK170" s="186"/>
      <c r="CL170" s="186"/>
      <c r="CM170" s="186"/>
      <c r="CN170" s="186"/>
    </row>
    <row r="171" spans="2:133" ht="45" hidden="1" thickBot="1" x14ac:dyDescent="0.3">
      <c r="C171" s="319"/>
      <c r="D171" s="287" t="s">
        <v>13</v>
      </c>
      <c r="H171" s="903" t="s">
        <v>4</v>
      </c>
      <c r="I171" s="904" t="s">
        <v>1</v>
      </c>
      <c r="J171" s="359" t="s">
        <v>0</v>
      </c>
      <c r="K171" s="359" t="s">
        <v>2</v>
      </c>
      <c r="L171" s="359" t="s">
        <v>3</v>
      </c>
      <c r="M171" s="359" t="s">
        <v>8</v>
      </c>
      <c r="N171" s="359" t="s">
        <v>5</v>
      </c>
      <c r="O171" s="359" t="s">
        <v>6</v>
      </c>
      <c r="P171" s="359" t="s">
        <v>7</v>
      </c>
      <c r="Q171" s="359" t="s">
        <v>9</v>
      </c>
      <c r="R171" s="367" t="s">
        <v>10</v>
      </c>
      <c r="S171" s="359" t="s">
        <v>11</v>
      </c>
      <c r="T171" s="368" t="s">
        <v>12</v>
      </c>
      <c r="V171" s="323"/>
      <c r="W171" s="323"/>
      <c r="X171" s="323"/>
      <c r="Y171" s="323"/>
      <c r="Z171" s="323"/>
      <c r="AA171" s="323"/>
      <c r="AB171" s="42" t="s">
        <v>248</v>
      </c>
      <c r="AC171" s="323"/>
      <c r="AD171" s="323"/>
      <c r="AE171" s="323"/>
      <c r="AF171" s="323"/>
      <c r="AG171" s="323"/>
      <c r="AH171" s="323"/>
      <c r="AI171" s="901" t="s">
        <v>217</v>
      </c>
      <c r="AJ171" s="323"/>
      <c r="AK171" s="901" t="s">
        <v>225</v>
      </c>
      <c r="AL171" s="901" t="s">
        <v>219</v>
      </c>
      <c r="AM171" s="323"/>
      <c r="AN171" s="901" t="s">
        <v>226</v>
      </c>
      <c r="AO171" s="323"/>
      <c r="AP171" s="901" t="s">
        <v>224</v>
      </c>
      <c r="AQ171" s="323"/>
      <c r="AR171" s="323"/>
      <c r="AS171" s="323"/>
      <c r="AT171" s="323"/>
      <c r="AU171" s="323"/>
      <c r="AV171" s="323"/>
      <c r="AW171" s="323"/>
      <c r="AX171" s="318"/>
      <c r="AY171" s="323"/>
      <c r="AZ171" s="323"/>
      <c r="BA171" s="323"/>
      <c r="BB171" s="212"/>
      <c r="BC171" s="209"/>
      <c r="BE171" s="119"/>
      <c r="BF171" s="119"/>
      <c r="BG171" s="119"/>
      <c r="BH171" s="119"/>
      <c r="BI171" s="119"/>
      <c r="BJ171" s="119"/>
      <c r="BK171" s="119"/>
      <c r="BL171" s="119"/>
    </row>
    <row r="172" spans="2:133" ht="36.75" customHeight="1" thickBot="1" x14ac:dyDescent="0.25">
      <c r="B172" s="324"/>
      <c r="C172" s="325"/>
      <c r="D172" s="285" t="s">
        <v>20</v>
      </c>
      <c r="E172" s="277"/>
      <c r="F172" s="369"/>
      <c r="G172" s="221"/>
      <c r="H172" s="1004"/>
      <c r="I172" s="371"/>
      <c r="R172" s="367"/>
      <c r="T172" s="372"/>
      <c r="V172" s="323"/>
      <c r="W172" s="323"/>
      <c r="X172" s="323"/>
      <c r="Y172" s="323"/>
      <c r="Z172" s="323"/>
      <c r="AA172" s="323"/>
      <c r="AB172" s="323"/>
      <c r="AC172" s="323"/>
      <c r="AD172" s="323"/>
      <c r="AE172" s="323"/>
      <c r="AF172" s="323" t="s">
        <v>36</v>
      </c>
      <c r="AG172" s="328" t="s">
        <v>29</v>
      </c>
      <c r="AH172" s="328"/>
      <c r="AI172" s="905" t="s">
        <v>218</v>
      </c>
      <c r="AJ172" s="329" t="s">
        <v>30</v>
      </c>
      <c r="AK172" s="907" t="s">
        <v>31</v>
      </c>
      <c r="AL172" s="905" t="s">
        <v>220</v>
      </c>
      <c r="AM172" s="330" t="s">
        <v>32</v>
      </c>
      <c r="AN172" s="905" t="s">
        <v>33</v>
      </c>
      <c r="AO172" s="330"/>
      <c r="AP172" s="373" t="s">
        <v>34</v>
      </c>
      <c r="AQ172" s="323"/>
      <c r="AR172" s="323" t="s">
        <v>35</v>
      </c>
      <c r="AS172" s="323" t="s">
        <v>37</v>
      </c>
      <c r="AT172" s="323"/>
      <c r="AU172" s="323" t="s">
        <v>38</v>
      </c>
      <c r="AV172" s="332" t="s">
        <v>39</v>
      </c>
      <c r="AW172" s="332" t="s">
        <v>40</v>
      </c>
      <c r="AX172" s="333" t="s">
        <v>21</v>
      </c>
      <c r="AY172" s="333" t="s">
        <v>22</v>
      </c>
      <c r="AZ172" s="334" t="s">
        <v>21</v>
      </c>
      <c r="BA172" s="334" t="s">
        <v>22</v>
      </c>
      <c r="BC172" s="209"/>
      <c r="BE172" s="119"/>
      <c r="BF172" s="119"/>
      <c r="BG172" s="119"/>
      <c r="BH172" s="119"/>
      <c r="BI172" s="119"/>
      <c r="BJ172" s="119"/>
      <c r="BK172" s="119"/>
      <c r="BL172" s="119"/>
      <c r="BQ172" s="217"/>
      <c r="BR172" s="217"/>
      <c r="BS172" s="217"/>
      <c r="BT172" s="217"/>
      <c r="BU172" s="217"/>
      <c r="BV172" s="217"/>
      <c r="BW172" s="109"/>
      <c r="BX172" s="109"/>
      <c r="BY172" s="109"/>
      <c r="BZ172" s="109"/>
      <c r="CA172" s="109"/>
      <c r="CB172" s="217"/>
      <c r="CC172" s="217"/>
      <c r="CD172" s="217"/>
      <c r="CE172" s="109"/>
      <c r="CF172" s="109"/>
      <c r="CG172" s="109"/>
      <c r="CH172" s="109"/>
      <c r="CI172" s="109"/>
      <c r="CJ172" s="109"/>
      <c r="CK172" s="109"/>
      <c r="CL172" s="109"/>
      <c r="CM172" s="109"/>
      <c r="CN172" s="109"/>
      <c r="DE172" s="109"/>
      <c r="DG172" s="109"/>
      <c r="DI172" s="109"/>
    </row>
    <row r="173" spans="2:133" ht="19" thickBot="1" x14ac:dyDescent="0.25">
      <c r="B173" s="232">
        <v>1</v>
      </c>
      <c r="C173" s="233">
        <f>+AH162+D173</f>
        <v>0</v>
      </c>
      <c r="D173" s="19">
        <v>0</v>
      </c>
      <c r="E173" s="234" t="s">
        <v>126</v>
      </c>
      <c r="F173" s="235"/>
      <c r="G173" s="235">
        <f>+D173</f>
        <v>0</v>
      </c>
      <c r="H173" s="1005">
        <v>251.073172</v>
      </c>
      <c r="I173" s="1006">
        <v>65.636175100000003</v>
      </c>
      <c r="J173" s="374">
        <f>+I173-C173</f>
        <v>65.636175100000003</v>
      </c>
      <c r="K173" s="374">
        <f>+J173/2</f>
        <v>32.818087550000001</v>
      </c>
      <c r="L173" s="374">
        <f t="shared" ref="L173:L178" si="37">SIN(K173*3.14159265358979/180)</f>
        <v>0.54197353948789428</v>
      </c>
      <c r="M173" s="374">
        <f t="shared" ref="M173:M178" si="38">+L173*H173</f>
        <v>136.07501569929286</v>
      </c>
      <c r="N173" s="374">
        <f t="shared" ref="N173:N178" si="39">+M173*2</f>
        <v>272.15003139858572</v>
      </c>
      <c r="O173" s="374">
        <f>+C173/2</f>
        <v>0</v>
      </c>
      <c r="P173" s="374">
        <f t="shared" ref="P173:P178" si="40">SIN(O173*3.14159265358979/180)</f>
        <v>0</v>
      </c>
      <c r="Q173" s="374">
        <f t="shared" ref="Q173:Q178" si="41">+P173*N173</f>
        <v>0</v>
      </c>
      <c r="R173" s="1003">
        <v>211.0008</v>
      </c>
      <c r="S173" s="374">
        <f>+R173+Q173</f>
        <v>211.0008</v>
      </c>
      <c r="T173" s="375">
        <f t="shared" ref="T173:T178" si="42">+S173</f>
        <v>211.0008</v>
      </c>
      <c r="V173" s="1001">
        <f t="shared" ref="V173:V178" si="43">IF(B173&lt;($B$170+1),T173,0)</f>
        <v>211.0008</v>
      </c>
      <c r="W173" s="340"/>
      <c r="X173" s="340"/>
      <c r="Y173" s="340"/>
      <c r="Z173" s="340"/>
      <c r="AA173" s="340"/>
      <c r="AB173" s="376" t="str">
        <f>IF(AY173&lt;0,"use the locking pin"," ")</f>
        <v xml:space="preserve"> </v>
      </c>
      <c r="AC173" s="377"/>
      <c r="AD173" s="377"/>
      <c r="AE173" s="377"/>
      <c r="AF173" s="1001">
        <f>SUM(V173:V178)/($B$170)</f>
        <v>211.0008</v>
      </c>
      <c r="AG173" s="1007">
        <f>C173</f>
        <v>0</v>
      </c>
      <c r="AH173" s="353"/>
      <c r="AI173" s="944">
        <f>75.4990086-AG173</f>
        <v>75.499008599999996</v>
      </c>
      <c r="AJ173" s="575">
        <f t="shared" ref="AJ173:AJ178" si="44">SIN(AI173*3.14159265358979/180)</f>
        <v>0.96814330785934066</v>
      </c>
      <c r="AK173" s="996">
        <f>+AJ173*290.642868</f>
        <v>281.38394763124575</v>
      </c>
      <c r="AL173" s="944">
        <f>57.1819124+AG173</f>
        <v>57.181912400000002</v>
      </c>
      <c r="AM173" s="968">
        <f>SIN(AL173*3.14159265358979/180)</f>
        <v>0.84039555073787342</v>
      </c>
      <c r="AN173" s="944">
        <f>+AM173*251.073172</f>
        <v>211.00077665844481</v>
      </c>
      <c r="AO173" s="378"/>
      <c r="AP173" s="986">
        <f>$C$13*B170</f>
        <v>29.3</v>
      </c>
      <c r="AQ173" s="347"/>
      <c r="AR173" s="347">
        <f>+AN173+AK173</f>
        <v>492.38472428969055</v>
      </c>
      <c r="AS173" s="348">
        <f>+V173-AN173</f>
        <v>2.3341555191791485E-5</v>
      </c>
      <c r="AT173" s="348"/>
      <c r="AU173" s="348">
        <f>+AF173-AS173</f>
        <v>211.00077665844481</v>
      </c>
      <c r="AV173" s="350">
        <f>+((AR173-AU173)/AR173)*AP173</f>
        <v>16.744121535226355</v>
      </c>
      <c r="AW173" s="350">
        <f>+(AU173/AR173)*AP173</f>
        <v>12.555878464773642</v>
      </c>
      <c r="AX173" s="351">
        <f>2*$C$18/AV173</f>
        <v>692.78044689271212</v>
      </c>
      <c r="AY173" s="1083">
        <f>AY170/AX167</f>
        <v>143.35914488580156</v>
      </c>
      <c r="AZ173" s="354">
        <f>ABS(AX173)</f>
        <v>692.78044689271212</v>
      </c>
      <c r="BA173" s="354">
        <f>ABS(AY173)</f>
        <v>143.35914488580156</v>
      </c>
      <c r="BB173" s="74"/>
      <c r="BC173" s="380"/>
      <c r="BE173" s="119"/>
      <c r="BF173" s="119"/>
      <c r="BG173" s="119"/>
      <c r="BH173" s="119"/>
      <c r="BI173" s="119"/>
      <c r="BJ173" s="119"/>
      <c r="BK173" s="119"/>
      <c r="BL173" s="119"/>
      <c r="BQ173" s="217"/>
      <c r="BR173" s="217"/>
      <c r="BS173" s="217"/>
      <c r="BT173" s="217"/>
      <c r="BU173" s="217"/>
      <c r="BV173" s="217"/>
      <c r="CA173" s="217"/>
      <c r="CB173" s="217"/>
      <c r="CC173" s="217"/>
      <c r="CD173" s="217"/>
      <c r="CI173" s="217"/>
      <c r="CJ173" s="217"/>
      <c r="CK173" s="217"/>
      <c r="CL173" s="217"/>
      <c r="CM173" s="217"/>
      <c r="CN173" s="217"/>
      <c r="DE173" s="109"/>
      <c r="DI173" s="109"/>
    </row>
    <row r="174" spans="2:133" ht="19" thickBot="1" x14ac:dyDescent="0.25">
      <c r="B174" s="244">
        <v>2</v>
      </c>
      <c r="C174" s="245"/>
      <c r="D174" s="16">
        <v>1</v>
      </c>
      <c r="E174" s="246" t="s">
        <v>215</v>
      </c>
      <c r="F174" s="235"/>
      <c r="G174" s="235">
        <f t="shared" ref="G174:G178" si="45">+D174+BB174</f>
        <v>1</v>
      </c>
      <c r="H174" s="1005">
        <v>251.073172</v>
      </c>
      <c r="I174" s="1006">
        <v>65.636175100000003</v>
      </c>
      <c r="J174" s="374">
        <f t="shared" ref="J174:J178" si="46">+I174-D174</f>
        <v>64.636175100000003</v>
      </c>
      <c r="K174" s="374">
        <f t="shared" ref="K174:K178" si="47">+J174/2</f>
        <v>32.318087550000001</v>
      </c>
      <c r="L174" s="374">
        <f t="shared" si="37"/>
        <v>0.53461916118589337</v>
      </c>
      <c r="M174" s="374">
        <f t="shared" si="38"/>
        <v>134.22852861092153</v>
      </c>
      <c r="N174" s="374">
        <f t="shared" si="39"/>
        <v>268.45705722184306</v>
      </c>
      <c r="O174" s="374">
        <f>+C173+(D174/2)</f>
        <v>0.5</v>
      </c>
      <c r="P174" s="374">
        <f t="shared" si="40"/>
        <v>8.726535498373926E-3</v>
      </c>
      <c r="Q174" s="374">
        <f t="shared" si="41"/>
        <v>2.3427000396354138</v>
      </c>
      <c r="R174" s="374">
        <f t="shared" ref="R174:R178" si="48">+T173</f>
        <v>211.0008</v>
      </c>
      <c r="S174" s="374">
        <f>+R174+Q174</f>
        <v>213.34350003963542</v>
      </c>
      <c r="T174" s="375">
        <f t="shared" si="42"/>
        <v>213.34350003963542</v>
      </c>
      <c r="V174" s="1001">
        <f t="shared" si="43"/>
        <v>0</v>
      </c>
      <c r="W174" s="340"/>
      <c r="X174" s="340"/>
      <c r="Y174" s="340"/>
      <c r="Z174" s="340"/>
      <c r="AA174" s="340"/>
      <c r="AB174" s="376" t="e">
        <f t="shared" ref="AB174:AB178" si="49">IF(AY174&lt;0,"use the locking pin"," ")</f>
        <v>#DIV/0!</v>
      </c>
      <c r="AC174" s="377"/>
      <c r="AD174" s="377"/>
      <c r="AE174" s="377"/>
      <c r="AF174" s="1001" t="e">
        <f>SUM(V174:V178)/($B$170-B173)</f>
        <v>#DIV/0!</v>
      </c>
      <c r="AG174" s="1007">
        <f>SUM(D174)+$C$173</f>
        <v>1</v>
      </c>
      <c r="AH174" s="353"/>
      <c r="AI174" s="944">
        <f t="shared" ref="AI174:AI178" si="50">75.4990086-AG174</f>
        <v>74.499008599999996</v>
      </c>
      <c r="AJ174" s="575">
        <f t="shared" si="44"/>
        <v>0.96362582898684701</v>
      </c>
      <c r="AK174" s="996">
        <f t="shared" ref="AK174:AK178" si="51">+AJ174*290.642868</f>
        <v>280.07097461561477</v>
      </c>
      <c r="AL174" s="944">
        <f t="shared" ref="AL174:AL178" si="52">57.1819124+AG174</f>
        <v>58.181912400000002</v>
      </c>
      <c r="AM174" s="968">
        <f t="shared" ref="AM174:AM178" si="53">SIN(AL174*3.14159265358979/180)</f>
        <v>0.84972629692714396</v>
      </c>
      <c r="AN174" s="944">
        <f t="shared" ref="AN174:AN178" si="54">+AM174*251.073172</f>
        <v>213.34347670131189</v>
      </c>
      <c r="AO174" s="378"/>
      <c r="AP174" s="944">
        <f>$C$13*($B$170-B173)</f>
        <v>0</v>
      </c>
      <c r="AQ174" s="347"/>
      <c r="AR174" s="347">
        <f t="shared" ref="AR174:AR178" si="55">+AN174+AK174</f>
        <v>493.41445131692666</v>
      </c>
      <c r="AS174" s="348">
        <f>+V174-AN174</f>
        <v>-213.34347670131189</v>
      </c>
      <c r="AT174" s="348"/>
      <c r="AU174" s="348" t="e">
        <f>+AF174-AS174</f>
        <v>#DIV/0!</v>
      </c>
      <c r="AV174" s="350" t="e">
        <f t="shared" ref="AV174:AV178" si="56">+((AR174-AU174)/AR174)*AP174</f>
        <v>#DIV/0!</v>
      </c>
      <c r="AW174" s="350" t="e">
        <f t="shared" ref="AW174:AW178" si="57">+(AU174/AR174)*AP174</f>
        <v>#DIV/0!</v>
      </c>
      <c r="AX174" s="351" t="e">
        <f t="shared" ref="AX174:AX178" si="58">2*$C$18/AV174</f>
        <v>#DIV/0!</v>
      </c>
      <c r="AY174" s="351" t="e">
        <f t="shared" ref="AY174:AY178" si="59">$D$18/AW174</f>
        <v>#DIV/0!</v>
      </c>
      <c r="AZ174" s="354" t="e">
        <f t="shared" ref="AZ174:BA178" si="60">ABS(AX174)</f>
        <v>#DIV/0!</v>
      </c>
      <c r="BA174" s="354" t="e">
        <f t="shared" si="60"/>
        <v>#DIV/0!</v>
      </c>
      <c r="BE174" s="119"/>
      <c r="BF174" s="119"/>
      <c r="BG174" s="119"/>
      <c r="BH174" s="119"/>
      <c r="BI174" s="119"/>
      <c r="BJ174" s="119"/>
      <c r="BK174" s="119"/>
      <c r="BL174" s="119"/>
      <c r="DE174" s="109"/>
      <c r="DF174" s="273"/>
      <c r="DG174" s="273"/>
      <c r="DH174" s="273"/>
      <c r="DI174" s="273"/>
      <c r="DJ174" s="273"/>
      <c r="DK174" s="273"/>
      <c r="DL174" s="273"/>
      <c r="DM174" s="273"/>
      <c r="DN174" s="273"/>
      <c r="DO174" s="273"/>
      <c r="DP174" s="273"/>
      <c r="DQ174" s="273"/>
      <c r="DR174" s="273"/>
      <c r="DS174" s="273"/>
      <c r="DT174" s="273"/>
      <c r="DU174" s="273"/>
      <c r="DV174" s="273"/>
      <c r="DW174" s="273"/>
      <c r="DX174" s="273"/>
      <c r="DY174" s="273"/>
      <c r="DZ174" s="273"/>
      <c r="EA174" s="273"/>
      <c r="EB174" s="273"/>
      <c r="EC174" s="273"/>
    </row>
    <row r="175" spans="2:133" ht="19" thickBot="1" x14ac:dyDescent="0.25">
      <c r="B175" s="244">
        <v>3</v>
      </c>
      <c r="C175" s="245"/>
      <c r="D175" s="16">
        <v>1</v>
      </c>
      <c r="E175" s="246" t="s">
        <v>215</v>
      </c>
      <c r="F175" s="235"/>
      <c r="G175" s="235">
        <f t="shared" si="45"/>
        <v>1</v>
      </c>
      <c r="H175" s="1005">
        <v>251.073172</v>
      </c>
      <c r="I175" s="1006">
        <v>65.636175100000003</v>
      </c>
      <c r="J175" s="374">
        <f t="shared" si="46"/>
        <v>64.636175100000003</v>
      </c>
      <c r="K175" s="374">
        <f t="shared" si="47"/>
        <v>32.318087550000001</v>
      </c>
      <c r="L175" s="374">
        <f t="shared" si="37"/>
        <v>0.53461916118589337</v>
      </c>
      <c r="M175" s="374">
        <f t="shared" si="38"/>
        <v>134.22852861092153</v>
      </c>
      <c r="N175" s="374">
        <f t="shared" si="39"/>
        <v>268.45705722184306</v>
      </c>
      <c r="O175" s="374">
        <f>+C173+D174+(D175/2)</f>
        <v>1.5</v>
      </c>
      <c r="P175" s="374">
        <f t="shared" si="40"/>
        <v>2.6176948307873125E-2</v>
      </c>
      <c r="Q175" s="374">
        <f t="shared" si="41"/>
        <v>7.0273865097799231</v>
      </c>
      <c r="R175" s="374">
        <f t="shared" si="48"/>
        <v>213.34350003963542</v>
      </c>
      <c r="S175" s="374">
        <f t="shared" ref="S175:S178" si="61">+S174+Q175</f>
        <v>220.37088654941533</v>
      </c>
      <c r="T175" s="375">
        <f t="shared" si="42"/>
        <v>220.37088654941533</v>
      </c>
      <c r="V175" s="1001">
        <f t="shared" si="43"/>
        <v>0</v>
      </c>
      <c r="W175" s="340"/>
      <c r="X175" s="340"/>
      <c r="Y175" s="340"/>
      <c r="Z175" s="340"/>
      <c r="AA175" s="340"/>
      <c r="AB175" s="376" t="str">
        <f t="shared" si="49"/>
        <v>use the locking pin</v>
      </c>
      <c r="AC175" s="377"/>
      <c r="AD175" s="377"/>
      <c r="AE175" s="377"/>
      <c r="AF175" s="1001">
        <f>SUM(V175:V178)/($B$170-B174)</f>
        <v>0</v>
      </c>
      <c r="AG175" s="1007">
        <f>SUM(D174:D175)+$C$173</f>
        <v>2</v>
      </c>
      <c r="AH175" s="353"/>
      <c r="AI175" s="944">
        <f t="shared" si="50"/>
        <v>73.499008599999996</v>
      </c>
      <c r="AJ175" s="575">
        <f t="shared" si="44"/>
        <v>0.95881482035199095</v>
      </c>
      <c r="AK175" s="996">
        <f t="shared" si="51"/>
        <v>278.67268926800745</v>
      </c>
      <c r="AL175" s="944">
        <f t="shared" si="52"/>
        <v>59.181912400000002</v>
      </c>
      <c r="AM175" s="968">
        <f t="shared" si="53"/>
        <v>0.85879820825488717</v>
      </c>
      <c r="AN175" s="944">
        <f t="shared" si="54"/>
        <v>215.62119025447112</v>
      </c>
      <c r="AO175" s="378"/>
      <c r="AP175" s="944">
        <f>$C$13*($B$170-B174)</f>
        <v>-29.3</v>
      </c>
      <c r="AQ175" s="347"/>
      <c r="AR175" s="347">
        <f t="shared" si="55"/>
        <v>494.29387952247856</v>
      </c>
      <c r="AS175" s="348">
        <f>+V175-AN175</f>
        <v>-215.62119025447112</v>
      </c>
      <c r="AT175" s="348"/>
      <c r="AU175" s="348">
        <f>+AF175-AS175</f>
        <v>215.62119025447112</v>
      </c>
      <c r="AV175" s="350">
        <f t="shared" si="56"/>
        <v>-16.518735379529016</v>
      </c>
      <c r="AW175" s="350">
        <f t="shared" si="57"/>
        <v>-12.781264620470987</v>
      </c>
      <c r="AX175" s="351">
        <f t="shared" si="58"/>
        <v>-702.23293330162551</v>
      </c>
      <c r="AY175" s="351">
        <f t="shared" si="59"/>
        <v>-782.39519303775296</v>
      </c>
      <c r="AZ175" s="354">
        <f t="shared" si="60"/>
        <v>702.23293330162551</v>
      </c>
      <c r="BA175" s="354">
        <f t="shared" si="60"/>
        <v>782.39519303775296</v>
      </c>
      <c r="BE175" s="119"/>
      <c r="BF175" s="119"/>
      <c r="BG175" s="119"/>
      <c r="BH175" s="119"/>
      <c r="BI175" s="119"/>
      <c r="BJ175" s="119"/>
      <c r="BK175" s="119"/>
      <c r="BL175" s="119"/>
      <c r="DE175" s="109"/>
    </row>
    <row r="176" spans="2:133" ht="19" thickBot="1" x14ac:dyDescent="0.25">
      <c r="B176" s="244">
        <v>4</v>
      </c>
      <c r="C176" s="245"/>
      <c r="D176" s="16">
        <v>1</v>
      </c>
      <c r="E176" s="246" t="s">
        <v>215</v>
      </c>
      <c r="F176" s="235"/>
      <c r="G176" s="235">
        <f t="shared" si="45"/>
        <v>1</v>
      </c>
      <c r="H176" s="1005">
        <v>251.073172</v>
      </c>
      <c r="I176" s="1006">
        <v>65.636175100000003</v>
      </c>
      <c r="J176" s="374">
        <f t="shared" si="46"/>
        <v>64.636175100000003</v>
      </c>
      <c r="K176" s="374">
        <f t="shared" si="47"/>
        <v>32.318087550000001</v>
      </c>
      <c r="L176" s="374">
        <f t="shared" si="37"/>
        <v>0.53461916118589337</v>
      </c>
      <c r="M176" s="374">
        <f t="shared" si="38"/>
        <v>134.22852861092153</v>
      </c>
      <c r="N176" s="374">
        <f t="shared" si="39"/>
        <v>268.45705722184306</v>
      </c>
      <c r="O176" s="374">
        <f>+C173+D174+D175+(D176/2)</f>
        <v>2.5</v>
      </c>
      <c r="P176" s="374">
        <f t="shared" si="40"/>
        <v>4.3619387365335958E-2</v>
      </c>
      <c r="Q176" s="374">
        <f t="shared" si="41"/>
        <v>11.709932369917734</v>
      </c>
      <c r="R176" s="374">
        <f t="shared" si="48"/>
        <v>220.37088654941533</v>
      </c>
      <c r="S176" s="374">
        <f t="shared" si="61"/>
        <v>232.08081891933307</v>
      </c>
      <c r="T176" s="375">
        <f t="shared" si="42"/>
        <v>232.08081891933307</v>
      </c>
      <c r="V176" s="1001">
        <f t="shared" si="43"/>
        <v>0</v>
      </c>
      <c r="W176" s="340"/>
      <c r="X176" s="340"/>
      <c r="Y176" s="340"/>
      <c r="Z176" s="340"/>
      <c r="AA176" s="340"/>
      <c r="AB176" s="376" t="str">
        <f t="shared" si="49"/>
        <v>use the locking pin</v>
      </c>
      <c r="AC176" s="377"/>
      <c r="AD176" s="377"/>
      <c r="AE176" s="377"/>
      <c r="AF176" s="1001">
        <f>SUM(V176:V179)/($B$170-B175)</f>
        <v>0</v>
      </c>
      <c r="AG176" s="1007">
        <f>SUM(D174:D176)+$C$173</f>
        <v>3</v>
      </c>
      <c r="AH176" s="353"/>
      <c r="AI176" s="944">
        <f t="shared" si="50"/>
        <v>72.499008599999996</v>
      </c>
      <c r="AJ176" s="575">
        <f t="shared" si="44"/>
        <v>0.95371174743460796</v>
      </c>
      <c r="AK176" s="996">
        <f t="shared" si="51"/>
        <v>277.18951751968609</v>
      </c>
      <c r="AL176" s="944">
        <f t="shared" si="52"/>
        <v>60.181912400000002</v>
      </c>
      <c r="AM176" s="968">
        <f t="shared" si="53"/>
        <v>0.86760852132903066</v>
      </c>
      <c r="AN176" s="944">
        <f t="shared" si="54"/>
        <v>217.83322350430939</v>
      </c>
      <c r="AO176" s="378"/>
      <c r="AP176" s="944">
        <f>$C$13*($B$170-B175)</f>
        <v>-58.6</v>
      </c>
      <c r="AQ176" s="347"/>
      <c r="AR176" s="347">
        <f t="shared" si="55"/>
        <v>495.02274102399548</v>
      </c>
      <c r="AS176" s="348">
        <f>+V176-AN176</f>
        <v>-217.83322350430939</v>
      </c>
      <c r="AT176" s="348"/>
      <c r="AU176" s="348">
        <f t="shared" ref="AU176:AU178" si="62">+AF176-AS176</f>
        <v>217.83322350430939</v>
      </c>
      <c r="AV176" s="350">
        <f t="shared" si="56"/>
        <v>-32.813251554975004</v>
      </c>
      <c r="AW176" s="350">
        <f t="shared" si="57"/>
        <v>-25.786748445025005</v>
      </c>
      <c r="AX176" s="351">
        <f t="shared" si="58"/>
        <v>-353.51571241166005</v>
      </c>
      <c r="AY176" s="351">
        <f t="shared" si="59"/>
        <v>-387.79608143768445</v>
      </c>
      <c r="AZ176" s="354">
        <f t="shared" si="60"/>
        <v>353.51571241166005</v>
      </c>
      <c r="BA176" s="354">
        <f t="shared" si="60"/>
        <v>387.79608143768445</v>
      </c>
      <c r="DE176" s="216"/>
      <c r="DF176" s="274"/>
      <c r="DG176" s="274"/>
      <c r="DH176" s="274"/>
      <c r="DI176" s="274"/>
      <c r="DJ176" s="274"/>
      <c r="DK176" s="274"/>
      <c r="DL176" s="274"/>
      <c r="DM176" s="274"/>
      <c r="DN176" s="274"/>
      <c r="DO176" s="274"/>
      <c r="DP176" s="274"/>
      <c r="DQ176" s="274"/>
      <c r="DR176" s="274"/>
      <c r="DS176" s="274"/>
      <c r="DT176" s="274"/>
      <c r="DU176" s="274"/>
      <c r="DV176" s="274"/>
      <c r="DW176" s="274"/>
      <c r="DX176" s="274"/>
      <c r="DY176" s="274"/>
      <c r="DZ176" s="274"/>
      <c r="EA176" s="274"/>
      <c r="EB176" s="274"/>
      <c r="EC176" s="274"/>
    </row>
    <row r="177" spans="2:133" ht="19" thickBot="1" x14ac:dyDescent="0.25">
      <c r="B177" s="244">
        <v>5</v>
      </c>
      <c r="C177" s="245"/>
      <c r="D177" s="16">
        <v>1</v>
      </c>
      <c r="E177" s="246" t="s">
        <v>215</v>
      </c>
      <c r="F177" s="235"/>
      <c r="G177" s="235">
        <f t="shared" si="45"/>
        <v>1</v>
      </c>
      <c r="H177" s="1005">
        <v>251.073172</v>
      </c>
      <c r="I177" s="1006">
        <v>65.636175100000003</v>
      </c>
      <c r="J177" s="374">
        <f t="shared" si="46"/>
        <v>64.636175100000003</v>
      </c>
      <c r="K177" s="374">
        <f t="shared" si="47"/>
        <v>32.318087550000001</v>
      </c>
      <c r="L177" s="374">
        <f t="shared" si="37"/>
        <v>0.53461916118589337</v>
      </c>
      <c r="M177" s="374">
        <f t="shared" si="38"/>
        <v>134.22852861092153</v>
      </c>
      <c r="N177" s="374">
        <f t="shared" si="39"/>
        <v>268.45705722184306</v>
      </c>
      <c r="O177" s="374">
        <f>+C173+D174+D175+D176+(D177/2)</f>
        <v>3.5</v>
      </c>
      <c r="P177" s="374">
        <f t="shared" si="40"/>
        <v>6.1048539534856811E-2</v>
      </c>
      <c r="Q177" s="374">
        <f t="shared" si="41"/>
        <v>16.388911271219001</v>
      </c>
      <c r="R177" s="374">
        <f t="shared" si="48"/>
        <v>232.08081891933307</v>
      </c>
      <c r="S177" s="374">
        <f t="shared" si="61"/>
        <v>248.46973019055207</v>
      </c>
      <c r="T177" s="375">
        <f t="shared" si="42"/>
        <v>248.46973019055207</v>
      </c>
      <c r="V177" s="1001">
        <f t="shared" si="43"/>
        <v>0</v>
      </c>
      <c r="W177" s="340"/>
      <c r="X177" s="340"/>
      <c r="Y177" s="340"/>
      <c r="Z177" s="340"/>
      <c r="AA177" s="340"/>
      <c r="AB177" s="376" t="str">
        <f t="shared" si="49"/>
        <v>use the locking pin</v>
      </c>
      <c r="AC177" s="377"/>
      <c r="AD177" s="377"/>
      <c r="AE177" s="377"/>
      <c r="AF177" s="1001">
        <f>SUM(V177:V180)/($B$170-B176)</f>
        <v>0</v>
      </c>
      <c r="AG177" s="1007">
        <f>SUM(D174:D177)+$C$173</f>
        <v>4</v>
      </c>
      <c r="AH177" s="353"/>
      <c r="AI177" s="944">
        <f t="shared" si="50"/>
        <v>71.499008599999996</v>
      </c>
      <c r="AJ177" s="575">
        <f t="shared" si="44"/>
        <v>0.94831816468014318</v>
      </c>
      <c r="AK177" s="996">
        <f t="shared" si="51"/>
        <v>275.62191115913316</v>
      </c>
      <c r="AL177" s="944">
        <f t="shared" si="52"/>
        <v>61.181912400000002</v>
      </c>
      <c r="AM177" s="968">
        <f t="shared" si="53"/>
        <v>0.87615455244286489</v>
      </c>
      <c r="AN177" s="944">
        <f t="shared" si="54"/>
        <v>219.97890264407044</v>
      </c>
      <c r="AO177" s="378"/>
      <c r="AP177" s="944">
        <f>$C$13*($B$170-B176)</f>
        <v>-87.9</v>
      </c>
      <c r="AQ177" s="347"/>
      <c r="AR177" s="347">
        <f t="shared" si="55"/>
        <v>495.60081380320361</v>
      </c>
      <c r="AS177" s="348">
        <f t="shared" ref="AS177:AS178" si="63">+V177-AN177</f>
        <v>-219.97890264407044</v>
      </c>
      <c r="AT177" s="348"/>
      <c r="AU177" s="348">
        <f t="shared" si="62"/>
        <v>219.97890264407044</v>
      </c>
      <c r="AV177" s="350">
        <f t="shared" si="56"/>
        <v>-48.884435449107407</v>
      </c>
      <c r="AW177" s="350">
        <f t="shared" si="57"/>
        <v>-39.015564550892599</v>
      </c>
      <c r="AX177" s="351">
        <f t="shared" si="58"/>
        <v>-237.29434314683914</v>
      </c>
      <c r="AY177" s="351">
        <f t="shared" si="59"/>
        <v>-256.30796619528144</v>
      </c>
      <c r="AZ177" s="354">
        <f t="shared" si="60"/>
        <v>237.29434314683914</v>
      </c>
      <c r="BA177" s="354">
        <f t="shared" si="60"/>
        <v>256.30796619528144</v>
      </c>
      <c r="BC177" s="109"/>
      <c r="BD177" s="109"/>
      <c r="DE177" s="109"/>
      <c r="DF177" s="186"/>
      <c r="DG177" s="186"/>
      <c r="DH177" s="186"/>
      <c r="DI177" s="186"/>
      <c r="DJ177" s="186"/>
      <c r="DK177" s="186"/>
      <c r="DL177" s="186"/>
      <c r="DM177" s="186"/>
      <c r="DN177" s="186"/>
      <c r="DO177" s="186"/>
      <c r="DP177" s="186"/>
      <c r="DQ177" s="186"/>
      <c r="DR177" s="186"/>
      <c r="DS177" s="186"/>
      <c r="DT177" s="186"/>
      <c r="DU177" s="186"/>
      <c r="DV177" s="186"/>
      <c r="DW177" s="186"/>
      <c r="DX177" s="186"/>
      <c r="DY177" s="186"/>
      <c r="DZ177" s="186"/>
      <c r="EA177" s="186"/>
      <c r="EB177" s="186"/>
      <c r="EC177" s="186"/>
    </row>
    <row r="178" spans="2:133" ht="19" thickBot="1" x14ac:dyDescent="0.25">
      <c r="B178" s="244">
        <v>6</v>
      </c>
      <c r="C178" s="245"/>
      <c r="D178" s="16">
        <v>1</v>
      </c>
      <c r="E178" s="246" t="s">
        <v>215</v>
      </c>
      <c r="F178" s="235"/>
      <c r="G178" s="235">
        <f t="shared" si="45"/>
        <v>1</v>
      </c>
      <c r="H178" s="1005">
        <v>251.073172</v>
      </c>
      <c r="I178" s="1006">
        <v>65.636175100000003</v>
      </c>
      <c r="J178" s="374">
        <f t="shared" si="46"/>
        <v>64.636175100000003</v>
      </c>
      <c r="K178" s="374">
        <f t="shared" si="47"/>
        <v>32.318087550000001</v>
      </c>
      <c r="L178" s="374">
        <f t="shared" si="37"/>
        <v>0.53461916118589337</v>
      </c>
      <c r="M178" s="374">
        <f t="shared" si="38"/>
        <v>134.22852861092153</v>
      </c>
      <c r="N178" s="374">
        <f t="shared" si="39"/>
        <v>268.45705722184306</v>
      </c>
      <c r="O178" s="374">
        <f>+C173+D174+D175+D176+D177+(D178/2)</f>
        <v>4.5</v>
      </c>
      <c r="P178" s="374">
        <f t="shared" si="40"/>
        <v>7.845909572784486E-2</v>
      </c>
      <c r="Q178" s="374">
        <f t="shared" si="41"/>
        <v>21.062897951384109</v>
      </c>
      <c r="R178" s="374">
        <f t="shared" si="48"/>
        <v>248.46973019055207</v>
      </c>
      <c r="S178" s="374">
        <f t="shared" si="61"/>
        <v>269.53262814193619</v>
      </c>
      <c r="T178" s="375">
        <f t="shared" si="42"/>
        <v>269.53262814193619</v>
      </c>
      <c r="V178" s="1001">
        <f t="shared" si="43"/>
        <v>0</v>
      </c>
      <c r="W178" s="340"/>
      <c r="X178" s="340"/>
      <c r="Y178" s="340"/>
      <c r="Z178" s="340"/>
      <c r="AA178" s="340"/>
      <c r="AB178" s="376" t="str">
        <f t="shared" si="49"/>
        <v>use the locking pin</v>
      </c>
      <c r="AC178" s="377"/>
      <c r="AD178" s="377"/>
      <c r="AE178" s="377"/>
      <c r="AF178" s="1001">
        <f>SUM(V178:V181)/($B$170-B177)</f>
        <v>0</v>
      </c>
      <c r="AG178" s="1007">
        <f>SUM(D174:D178)+$C$173</f>
        <v>5</v>
      </c>
      <c r="AH178" s="353"/>
      <c r="AI178" s="944">
        <f t="shared" si="50"/>
        <v>70.499008599999996</v>
      </c>
      <c r="AJ178" s="575">
        <f t="shared" si="44"/>
        <v>0.94263571502615251</v>
      </c>
      <c r="AK178" s="996">
        <f t="shared" si="51"/>
        <v>273.97034769443167</v>
      </c>
      <c r="AL178" s="944">
        <f t="shared" si="52"/>
        <v>62.181912400000002</v>
      </c>
      <c r="AM178" s="968">
        <f t="shared" si="53"/>
        <v>0.88443369839252528</v>
      </c>
      <c r="AN178" s="944">
        <f t="shared" si="54"/>
        <v>222.05757407910264</v>
      </c>
      <c r="AO178" s="378"/>
      <c r="AP178" s="944">
        <f>$C$13*($B$170-B177)</f>
        <v>-117.2</v>
      </c>
      <c r="AQ178" s="347"/>
      <c r="AR178" s="347">
        <f t="shared" si="55"/>
        <v>496.02792177353433</v>
      </c>
      <c r="AS178" s="348">
        <f t="shared" si="63"/>
        <v>-222.05757407910264</v>
      </c>
      <c r="AT178" s="348"/>
      <c r="AU178" s="348">
        <f t="shared" si="62"/>
        <v>222.05757407910264</v>
      </c>
      <c r="AV178" s="350">
        <f t="shared" si="56"/>
        <v>-64.732897767088147</v>
      </c>
      <c r="AW178" s="350">
        <f t="shared" si="57"/>
        <v>-52.467102232911849</v>
      </c>
      <c r="AX178" s="351">
        <f t="shared" si="58"/>
        <v>-179.19791018374178</v>
      </c>
      <c r="AY178" s="351">
        <f t="shared" si="59"/>
        <v>-190.59562229314707</v>
      </c>
      <c r="AZ178" s="354">
        <f t="shared" si="60"/>
        <v>179.19791018374178</v>
      </c>
      <c r="BA178" s="354">
        <f t="shared" si="60"/>
        <v>190.59562229314707</v>
      </c>
      <c r="BC178" s="109"/>
      <c r="BD178" s="109"/>
    </row>
    <row r="179" spans="2:133" x14ac:dyDescent="0.2">
      <c r="BE179" s="119"/>
      <c r="BF179" s="119"/>
      <c r="BG179" s="119"/>
      <c r="BH179" s="119"/>
      <c r="BI179" s="119"/>
      <c r="BJ179" s="119"/>
      <c r="BK179" s="195"/>
      <c r="BL179" s="187" t="s">
        <v>53</v>
      </c>
    </row>
    <row r="180" spans="2:133" x14ac:dyDescent="0.2">
      <c r="BE180" s="119"/>
      <c r="BF180" s="119"/>
      <c r="BG180" s="259" t="s">
        <v>107</v>
      </c>
      <c r="BH180" s="119"/>
      <c r="BI180" s="119"/>
      <c r="BJ180" s="119"/>
      <c r="BK180" s="119"/>
      <c r="BL180" s="187">
        <f>-+BH181</f>
        <v>736.49641271325027</v>
      </c>
    </row>
    <row r="181" spans="2:133" ht="20" x14ac:dyDescent="0.3">
      <c r="BE181" s="260">
        <v>1</v>
      </c>
      <c r="BF181" s="261">
        <v>-473</v>
      </c>
      <c r="BG181" s="262">
        <f>+COS(($B$144*-1)*3.14159265358979/180)*BF181</f>
        <v>-473</v>
      </c>
      <c r="BH181" s="263">
        <f t="shared" ref="BH181:BH217" si="64">+BG181-D$3</f>
        <v>-736.49641271325027</v>
      </c>
      <c r="BI181" s="264">
        <f t="shared" ref="BI181:BI217" si="65">ABS(BH181)</f>
        <v>736.49641271325027</v>
      </c>
      <c r="BJ181" s="265">
        <f>MIN(BI181:BI217)</f>
        <v>5.4964127132502654</v>
      </c>
      <c r="BK181" s="264" t="b">
        <f>IF(BJ181=BI181,BE181)</f>
        <v>0</v>
      </c>
      <c r="BL181" s="266">
        <v>1</v>
      </c>
    </row>
    <row r="182" spans="2:133" ht="20" x14ac:dyDescent="0.3">
      <c r="BE182" s="260">
        <v>2</v>
      </c>
      <c r="BF182" s="261">
        <f>+BF181+43</f>
        <v>-430</v>
      </c>
      <c r="BG182" s="31">
        <f>+BG181+$E$2</f>
        <v>-430</v>
      </c>
      <c r="BH182" s="263">
        <f t="shared" si="64"/>
        <v>-693.49641271325027</v>
      </c>
      <c r="BI182" s="264">
        <f t="shared" si="65"/>
        <v>693.49641271325027</v>
      </c>
      <c r="BJ182" s="264">
        <f>+BJ181</f>
        <v>5.4964127132502654</v>
      </c>
      <c r="BK182" s="264" t="b">
        <f t="shared" ref="BK182:BK217" si="66">IF(BJ182=BI182,BE182)</f>
        <v>0</v>
      </c>
      <c r="BL182" s="266">
        <v>2</v>
      </c>
    </row>
    <row r="183" spans="2:133" ht="20" x14ac:dyDescent="0.3">
      <c r="BE183" s="260">
        <v>3</v>
      </c>
      <c r="BF183" s="261">
        <f t="shared" ref="BF183:BF217" si="67">+BF182+43</f>
        <v>-387</v>
      </c>
      <c r="BG183" s="31">
        <f t="shared" ref="BG183:BG217" si="68">+BG182+$E$2</f>
        <v>-387</v>
      </c>
      <c r="BH183" s="263">
        <f t="shared" si="64"/>
        <v>-650.49641271325027</v>
      </c>
      <c r="BI183" s="264">
        <f t="shared" si="65"/>
        <v>650.49641271325027</v>
      </c>
      <c r="BJ183" s="264">
        <f t="shared" ref="BJ183:BJ217" si="69">+BJ182</f>
        <v>5.4964127132502654</v>
      </c>
      <c r="BK183" s="264" t="b">
        <f t="shared" si="66"/>
        <v>0</v>
      </c>
      <c r="BL183" s="266">
        <v>3</v>
      </c>
    </row>
    <row r="184" spans="2:133" ht="20" x14ac:dyDescent="0.3">
      <c r="BE184" s="260">
        <v>4</v>
      </c>
      <c r="BF184" s="261">
        <f t="shared" si="67"/>
        <v>-344</v>
      </c>
      <c r="BG184" s="31">
        <f t="shared" si="68"/>
        <v>-344</v>
      </c>
      <c r="BH184" s="263">
        <f t="shared" si="64"/>
        <v>-607.49641271325027</v>
      </c>
      <c r="BI184" s="264">
        <f t="shared" si="65"/>
        <v>607.49641271325027</v>
      </c>
      <c r="BJ184" s="264">
        <f t="shared" si="69"/>
        <v>5.4964127132502654</v>
      </c>
      <c r="BK184" s="264" t="b">
        <f t="shared" si="66"/>
        <v>0</v>
      </c>
      <c r="BL184" s="266">
        <v>4</v>
      </c>
    </row>
    <row r="185" spans="2:133" ht="20" x14ac:dyDescent="0.3">
      <c r="BE185" s="260">
        <v>5</v>
      </c>
      <c r="BF185" s="261">
        <f t="shared" si="67"/>
        <v>-301</v>
      </c>
      <c r="BG185" s="31">
        <f t="shared" si="68"/>
        <v>-301</v>
      </c>
      <c r="BH185" s="263">
        <f t="shared" si="64"/>
        <v>-564.49641271325027</v>
      </c>
      <c r="BI185" s="264">
        <f t="shared" si="65"/>
        <v>564.49641271325027</v>
      </c>
      <c r="BJ185" s="264">
        <f t="shared" si="69"/>
        <v>5.4964127132502654</v>
      </c>
      <c r="BK185" s="264" t="b">
        <f t="shared" si="66"/>
        <v>0</v>
      </c>
      <c r="BL185" s="266">
        <v>5</v>
      </c>
    </row>
    <row r="186" spans="2:133" ht="20" x14ac:dyDescent="0.3">
      <c r="BE186" s="260">
        <v>6</v>
      </c>
      <c r="BF186" s="261">
        <f t="shared" si="67"/>
        <v>-258</v>
      </c>
      <c r="BG186" s="31">
        <f t="shared" si="68"/>
        <v>-258</v>
      </c>
      <c r="BH186" s="263">
        <f t="shared" si="64"/>
        <v>-521.49641271325027</v>
      </c>
      <c r="BI186" s="264">
        <f t="shared" si="65"/>
        <v>521.49641271325027</v>
      </c>
      <c r="BJ186" s="264">
        <f t="shared" si="69"/>
        <v>5.4964127132502654</v>
      </c>
      <c r="BK186" s="264" t="b">
        <f t="shared" si="66"/>
        <v>0</v>
      </c>
      <c r="BL186" s="266">
        <v>6</v>
      </c>
    </row>
    <row r="187" spans="2:133" ht="20" x14ac:dyDescent="0.3">
      <c r="BE187" s="260">
        <v>7</v>
      </c>
      <c r="BF187" s="261">
        <f t="shared" si="67"/>
        <v>-215</v>
      </c>
      <c r="BG187" s="31">
        <f t="shared" si="68"/>
        <v>-215</v>
      </c>
      <c r="BH187" s="263">
        <f t="shared" si="64"/>
        <v>-478.49641271325027</v>
      </c>
      <c r="BI187" s="264">
        <f t="shared" si="65"/>
        <v>478.49641271325027</v>
      </c>
      <c r="BJ187" s="264">
        <f t="shared" si="69"/>
        <v>5.4964127132502654</v>
      </c>
      <c r="BK187" s="264" t="b">
        <f t="shared" si="66"/>
        <v>0</v>
      </c>
      <c r="BL187" s="266">
        <v>7</v>
      </c>
    </row>
    <row r="188" spans="2:133" ht="20" x14ac:dyDescent="0.3">
      <c r="BE188" s="260">
        <v>8</v>
      </c>
      <c r="BF188" s="261">
        <f t="shared" si="67"/>
        <v>-172</v>
      </c>
      <c r="BG188" s="31">
        <f t="shared" si="68"/>
        <v>-172</v>
      </c>
      <c r="BH188" s="263">
        <f t="shared" si="64"/>
        <v>-435.49641271325027</v>
      </c>
      <c r="BI188" s="264">
        <f t="shared" si="65"/>
        <v>435.49641271325027</v>
      </c>
      <c r="BJ188" s="264">
        <f t="shared" si="69"/>
        <v>5.4964127132502654</v>
      </c>
      <c r="BK188" s="264" t="b">
        <f t="shared" si="66"/>
        <v>0</v>
      </c>
      <c r="BL188" s="266">
        <v>8</v>
      </c>
    </row>
    <row r="189" spans="2:133" ht="20" x14ac:dyDescent="0.3">
      <c r="BE189" s="260">
        <v>9</v>
      </c>
      <c r="BF189" s="261">
        <f t="shared" si="67"/>
        <v>-129</v>
      </c>
      <c r="BG189" s="31">
        <f t="shared" si="68"/>
        <v>-129</v>
      </c>
      <c r="BH189" s="263">
        <f t="shared" si="64"/>
        <v>-392.49641271325027</v>
      </c>
      <c r="BI189" s="264">
        <f t="shared" si="65"/>
        <v>392.49641271325027</v>
      </c>
      <c r="BJ189" s="264">
        <f t="shared" si="69"/>
        <v>5.4964127132502654</v>
      </c>
      <c r="BK189" s="264" t="b">
        <f t="shared" si="66"/>
        <v>0</v>
      </c>
      <c r="BL189" s="266">
        <v>9</v>
      </c>
    </row>
    <row r="190" spans="2:133" ht="20" x14ac:dyDescent="0.3">
      <c r="BE190" s="260">
        <v>10</v>
      </c>
      <c r="BF190" s="261">
        <f t="shared" si="67"/>
        <v>-86</v>
      </c>
      <c r="BG190" s="31">
        <f t="shared" si="68"/>
        <v>-86</v>
      </c>
      <c r="BH190" s="263">
        <f t="shared" si="64"/>
        <v>-349.49641271325027</v>
      </c>
      <c r="BI190" s="264">
        <f t="shared" si="65"/>
        <v>349.49641271325027</v>
      </c>
      <c r="BJ190" s="264">
        <f t="shared" si="69"/>
        <v>5.4964127132502654</v>
      </c>
      <c r="BK190" s="264" t="b">
        <f t="shared" si="66"/>
        <v>0</v>
      </c>
      <c r="BL190" s="266">
        <v>10</v>
      </c>
    </row>
    <row r="191" spans="2:133" ht="20" x14ac:dyDescent="0.3">
      <c r="BE191" s="260">
        <v>11</v>
      </c>
      <c r="BF191" s="261">
        <f t="shared" si="67"/>
        <v>-43</v>
      </c>
      <c r="BG191" s="31">
        <f t="shared" si="68"/>
        <v>-43</v>
      </c>
      <c r="BH191" s="263">
        <f t="shared" si="64"/>
        <v>-306.49641271325027</v>
      </c>
      <c r="BI191" s="264">
        <f t="shared" si="65"/>
        <v>306.49641271325027</v>
      </c>
      <c r="BJ191" s="264">
        <f t="shared" si="69"/>
        <v>5.4964127132502654</v>
      </c>
      <c r="BK191" s="264" t="b">
        <f t="shared" si="66"/>
        <v>0</v>
      </c>
      <c r="BL191" s="266">
        <v>11</v>
      </c>
    </row>
    <row r="192" spans="2:133" ht="20" x14ac:dyDescent="0.3">
      <c r="BE192" s="260">
        <v>12</v>
      </c>
      <c r="BF192" s="261">
        <f t="shared" si="67"/>
        <v>0</v>
      </c>
      <c r="BG192" s="31">
        <f t="shared" si="68"/>
        <v>0</v>
      </c>
      <c r="BH192" s="263">
        <f t="shared" si="64"/>
        <v>-263.49641271325027</v>
      </c>
      <c r="BI192" s="264">
        <f t="shared" si="65"/>
        <v>263.49641271325027</v>
      </c>
      <c r="BJ192" s="264">
        <f t="shared" si="69"/>
        <v>5.4964127132502654</v>
      </c>
      <c r="BK192" s="264" t="b">
        <f t="shared" si="66"/>
        <v>0</v>
      </c>
      <c r="BL192" s="266">
        <v>12</v>
      </c>
    </row>
    <row r="193" spans="57:64" ht="20" x14ac:dyDescent="0.3">
      <c r="BE193" s="260">
        <v>13</v>
      </c>
      <c r="BF193" s="261">
        <f t="shared" si="67"/>
        <v>43</v>
      </c>
      <c r="BG193" s="31">
        <f t="shared" si="68"/>
        <v>43</v>
      </c>
      <c r="BH193" s="263">
        <f t="shared" si="64"/>
        <v>-220.49641271325027</v>
      </c>
      <c r="BI193" s="264">
        <f t="shared" si="65"/>
        <v>220.49641271325027</v>
      </c>
      <c r="BJ193" s="264">
        <f t="shared" si="69"/>
        <v>5.4964127132502654</v>
      </c>
      <c r="BK193" s="264" t="b">
        <f t="shared" si="66"/>
        <v>0</v>
      </c>
      <c r="BL193" s="266">
        <v>13</v>
      </c>
    </row>
    <row r="194" spans="57:64" ht="20" x14ac:dyDescent="0.3">
      <c r="BE194" s="260">
        <v>14</v>
      </c>
      <c r="BF194" s="261">
        <f t="shared" si="67"/>
        <v>86</v>
      </c>
      <c r="BG194" s="31">
        <f t="shared" si="68"/>
        <v>86</v>
      </c>
      <c r="BH194" s="263">
        <f t="shared" si="64"/>
        <v>-177.49641271325027</v>
      </c>
      <c r="BI194" s="264">
        <f t="shared" si="65"/>
        <v>177.49641271325027</v>
      </c>
      <c r="BJ194" s="264">
        <f t="shared" si="69"/>
        <v>5.4964127132502654</v>
      </c>
      <c r="BK194" s="264" t="b">
        <f t="shared" si="66"/>
        <v>0</v>
      </c>
      <c r="BL194" s="266">
        <v>14</v>
      </c>
    </row>
    <row r="195" spans="57:64" ht="20" x14ac:dyDescent="0.3">
      <c r="BE195" s="260">
        <v>15</v>
      </c>
      <c r="BF195" s="261">
        <f t="shared" si="67"/>
        <v>129</v>
      </c>
      <c r="BG195" s="31">
        <f t="shared" si="68"/>
        <v>129</v>
      </c>
      <c r="BH195" s="263">
        <f t="shared" si="64"/>
        <v>-134.49641271325027</v>
      </c>
      <c r="BI195" s="264">
        <f t="shared" si="65"/>
        <v>134.49641271325027</v>
      </c>
      <c r="BJ195" s="264">
        <f t="shared" si="69"/>
        <v>5.4964127132502654</v>
      </c>
      <c r="BK195" s="264" t="b">
        <f t="shared" si="66"/>
        <v>0</v>
      </c>
      <c r="BL195" s="266">
        <v>15</v>
      </c>
    </row>
    <row r="196" spans="57:64" ht="20" x14ac:dyDescent="0.3">
      <c r="BE196" s="260">
        <v>16</v>
      </c>
      <c r="BF196" s="261">
        <f t="shared" si="67"/>
        <v>172</v>
      </c>
      <c r="BG196" s="31">
        <f t="shared" si="68"/>
        <v>172</v>
      </c>
      <c r="BH196" s="263">
        <f t="shared" si="64"/>
        <v>-91.496412713250265</v>
      </c>
      <c r="BI196" s="264">
        <f t="shared" si="65"/>
        <v>91.496412713250265</v>
      </c>
      <c r="BJ196" s="264">
        <f t="shared" si="69"/>
        <v>5.4964127132502654</v>
      </c>
      <c r="BK196" s="264" t="b">
        <f t="shared" si="66"/>
        <v>0</v>
      </c>
      <c r="BL196" s="266">
        <v>16</v>
      </c>
    </row>
    <row r="197" spans="57:64" ht="20" x14ac:dyDescent="0.3">
      <c r="BE197" s="260">
        <v>17</v>
      </c>
      <c r="BF197" s="261">
        <f t="shared" si="67"/>
        <v>215</v>
      </c>
      <c r="BG197" s="31">
        <f t="shared" si="68"/>
        <v>215</v>
      </c>
      <c r="BH197" s="263">
        <f t="shared" si="64"/>
        <v>-48.496412713250265</v>
      </c>
      <c r="BI197" s="264">
        <f t="shared" si="65"/>
        <v>48.496412713250265</v>
      </c>
      <c r="BJ197" s="264">
        <f t="shared" si="69"/>
        <v>5.4964127132502654</v>
      </c>
      <c r="BK197" s="264" t="b">
        <f t="shared" si="66"/>
        <v>0</v>
      </c>
      <c r="BL197" s="266">
        <v>17</v>
      </c>
    </row>
    <row r="198" spans="57:64" ht="20" x14ac:dyDescent="0.3">
      <c r="BE198" s="260">
        <v>18</v>
      </c>
      <c r="BF198" s="261">
        <f t="shared" si="67"/>
        <v>258</v>
      </c>
      <c r="BG198" s="31">
        <f t="shared" si="68"/>
        <v>258</v>
      </c>
      <c r="BH198" s="263">
        <f t="shared" si="64"/>
        <v>-5.4964127132502654</v>
      </c>
      <c r="BI198" s="264">
        <f t="shared" si="65"/>
        <v>5.4964127132502654</v>
      </c>
      <c r="BJ198" s="264">
        <f t="shared" si="69"/>
        <v>5.4964127132502654</v>
      </c>
      <c r="BK198" s="264">
        <f t="shared" si="66"/>
        <v>18</v>
      </c>
      <c r="BL198" s="266">
        <v>18</v>
      </c>
    </row>
    <row r="199" spans="57:64" ht="20" x14ac:dyDescent="0.3">
      <c r="BE199" s="260">
        <v>19</v>
      </c>
      <c r="BF199" s="261">
        <f t="shared" si="67"/>
        <v>301</v>
      </c>
      <c r="BG199" s="31">
        <f t="shared" si="68"/>
        <v>301</v>
      </c>
      <c r="BH199" s="263">
        <f t="shared" si="64"/>
        <v>37.503587286749735</v>
      </c>
      <c r="BI199" s="264">
        <f t="shared" si="65"/>
        <v>37.503587286749735</v>
      </c>
      <c r="BJ199" s="264">
        <f t="shared" si="69"/>
        <v>5.4964127132502654</v>
      </c>
      <c r="BK199" s="264" t="b">
        <f t="shared" si="66"/>
        <v>0</v>
      </c>
      <c r="BL199" s="266">
        <v>19</v>
      </c>
    </row>
    <row r="200" spans="57:64" ht="20" x14ac:dyDescent="0.3">
      <c r="BE200" s="260">
        <v>20</v>
      </c>
      <c r="BF200" s="261">
        <f t="shared" si="67"/>
        <v>344</v>
      </c>
      <c r="BG200" s="31">
        <f t="shared" si="68"/>
        <v>344</v>
      </c>
      <c r="BH200" s="263">
        <f t="shared" si="64"/>
        <v>80.503587286749735</v>
      </c>
      <c r="BI200" s="264">
        <f t="shared" si="65"/>
        <v>80.503587286749735</v>
      </c>
      <c r="BJ200" s="264">
        <f t="shared" si="69"/>
        <v>5.4964127132502654</v>
      </c>
      <c r="BK200" s="264" t="b">
        <f t="shared" si="66"/>
        <v>0</v>
      </c>
      <c r="BL200" s="266">
        <v>20</v>
      </c>
    </row>
    <row r="201" spans="57:64" ht="20" x14ac:dyDescent="0.3">
      <c r="BE201" s="260">
        <v>21</v>
      </c>
      <c r="BF201" s="261">
        <f t="shared" si="67"/>
        <v>387</v>
      </c>
      <c r="BG201" s="31">
        <f t="shared" si="68"/>
        <v>387</v>
      </c>
      <c r="BH201" s="263">
        <f t="shared" si="64"/>
        <v>123.50358728674973</v>
      </c>
      <c r="BI201" s="264">
        <f t="shared" si="65"/>
        <v>123.50358728674973</v>
      </c>
      <c r="BJ201" s="264">
        <f t="shared" si="69"/>
        <v>5.4964127132502654</v>
      </c>
      <c r="BK201" s="264" t="b">
        <f t="shared" si="66"/>
        <v>0</v>
      </c>
      <c r="BL201" s="266">
        <v>21</v>
      </c>
    </row>
    <row r="202" spans="57:64" ht="20" x14ac:dyDescent="0.3">
      <c r="BE202" s="260">
        <v>22</v>
      </c>
      <c r="BF202" s="261">
        <f t="shared" si="67"/>
        <v>430</v>
      </c>
      <c r="BG202" s="31">
        <f t="shared" si="68"/>
        <v>430</v>
      </c>
      <c r="BH202" s="263">
        <f t="shared" si="64"/>
        <v>166.50358728674973</v>
      </c>
      <c r="BI202" s="264">
        <f t="shared" si="65"/>
        <v>166.50358728674973</v>
      </c>
      <c r="BJ202" s="264">
        <f t="shared" si="69"/>
        <v>5.4964127132502654</v>
      </c>
      <c r="BK202" s="264" t="b">
        <f t="shared" si="66"/>
        <v>0</v>
      </c>
      <c r="BL202" s="266">
        <v>22</v>
      </c>
    </row>
    <row r="203" spans="57:64" ht="20" x14ac:dyDescent="0.3">
      <c r="BE203" s="260">
        <v>23</v>
      </c>
      <c r="BF203" s="261">
        <f t="shared" si="67"/>
        <v>473</v>
      </c>
      <c r="BG203" s="31">
        <f t="shared" si="68"/>
        <v>473</v>
      </c>
      <c r="BH203" s="263">
        <f t="shared" si="64"/>
        <v>209.50358728674973</v>
      </c>
      <c r="BI203" s="264">
        <f t="shared" si="65"/>
        <v>209.50358728674973</v>
      </c>
      <c r="BJ203" s="264">
        <f t="shared" si="69"/>
        <v>5.4964127132502654</v>
      </c>
      <c r="BK203" s="264" t="b">
        <f t="shared" si="66"/>
        <v>0</v>
      </c>
      <c r="BL203" s="266">
        <v>23</v>
      </c>
    </row>
    <row r="204" spans="57:64" ht="20" x14ac:dyDescent="0.3">
      <c r="BE204" s="260">
        <v>24</v>
      </c>
      <c r="BF204" s="261">
        <f t="shared" si="67"/>
        <v>516</v>
      </c>
      <c r="BG204" s="31">
        <f t="shared" si="68"/>
        <v>516</v>
      </c>
      <c r="BH204" s="263">
        <f t="shared" si="64"/>
        <v>252.50358728674973</v>
      </c>
      <c r="BI204" s="264">
        <f t="shared" si="65"/>
        <v>252.50358728674973</v>
      </c>
      <c r="BJ204" s="264">
        <f t="shared" si="69"/>
        <v>5.4964127132502654</v>
      </c>
      <c r="BK204" s="264" t="b">
        <f t="shared" si="66"/>
        <v>0</v>
      </c>
      <c r="BL204" s="266">
        <v>24</v>
      </c>
    </row>
    <row r="205" spans="57:64" ht="20" x14ac:dyDescent="0.3">
      <c r="BE205" s="260">
        <v>25</v>
      </c>
      <c r="BF205" s="261">
        <f t="shared" si="67"/>
        <v>559</v>
      </c>
      <c r="BG205" s="31">
        <f t="shared" si="68"/>
        <v>559</v>
      </c>
      <c r="BH205" s="263">
        <f t="shared" si="64"/>
        <v>295.50358728674973</v>
      </c>
      <c r="BI205" s="264">
        <f t="shared" si="65"/>
        <v>295.50358728674973</v>
      </c>
      <c r="BJ205" s="264">
        <f t="shared" si="69"/>
        <v>5.4964127132502654</v>
      </c>
      <c r="BK205" s="264" t="b">
        <f t="shared" si="66"/>
        <v>0</v>
      </c>
      <c r="BL205" s="266">
        <v>25</v>
      </c>
    </row>
    <row r="206" spans="57:64" ht="20" x14ac:dyDescent="0.3">
      <c r="BE206" s="260">
        <v>26</v>
      </c>
      <c r="BF206" s="261">
        <f t="shared" si="67"/>
        <v>602</v>
      </c>
      <c r="BG206" s="31">
        <f t="shared" si="68"/>
        <v>602</v>
      </c>
      <c r="BH206" s="263">
        <f t="shared" si="64"/>
        <v>338.50358728674973</v>
      </c>
      <c r="BI206" s="264">
        <f t="shared" si="65"/>
        <v>338.50358728674973</v>
      </c>
      <c r="BJ206" s="264">
        <f t="shared" si="69"/>
        <v>5.4964127132502654</v>
      </c>
      <c r="BK206" s="264" t="b">
        <f t="shared" si="66"/>
        <v>0</v>
      </c>
      <c r="BL206" s="266">
        <v>26</v>
      </c>
    </row>
    <row r="207" spans="57:64" ht="20" x14ac:dyDescent="0.3">
      <c r="BE207" s="260">
        <v>27</v>
      </c>
      <c r="BF207" s="261">
        <f t="shared" si="67"/>
        <v>645</v>
      </c>
      <c r="BG207" s="31">
        <f t="shared" si="68"/>
        <v>645</v>
      </c>
      <c r="BH207" s="263">
        <f t="shared" si="64"/>
        <v>381.50358728674973</v>
      </c>
      <c r="BI207" s="264">
        <f t="shared" si="65"/>
        <v>381.50358728674973</v>
      </c>
      <c r="BJ207" s="264">
        <f t="shared" si="69"/>
        <v>5.4964127132502654</v>
      </c>
      <c r="BK207" s="264" t="b">
        <f t="shared" si="66"/>
        <v>0</v>
      </c>
      <c r="BL207" s="266">
        <v>27</v>
      </c>
    </row>
    <row r="208" spans="57:64" ht="20" x14ac:dyDescent="0.3">
      <c r="BE208" s="260">
        <v>28</v>
      </c>
      <c r="BF208" s="261">
        <f t="shared" si="67"/>
        <v>688</v>
      </c>
      <c r="BG208" s="31">
        <f t="shared" si="68"/>
        <v>688</v>
      </c>
      <c r="BH208" s="263">
        <f t="shared" si="64"/>
        <v>424.50358728674973</v>
      </c>
      <c r="BI208" s="264">
        <f t="shared" si="65"/>
        <v>424.50358728674973</v>
      </c>
      <c r="BJ208" s="264">
        <f t="shared" si="69"/>
        <v>5.4964127132502654</v>
      </c>
      <c r="BK208" s="264" t="b">
        <f t="shared" si="66"/>
        <v>0</v>
      </c>
      <c r="BL208" s="266">
        <v>28</v>
      </c>
    </row>
    <row r="209" spans="57:64" ht="20" x14ac:dyDescent="0.3">
      <c r="BE209" s="260">
        <v>29</v>
      </c>
      <c r="BF209" s="261">
        <f t="shared" si="67"/>
        <v>731</v>
      </c>
      <c r="BG209" s="31">
        <f t="shared" si="68"/>
        <v>731</v>
      </c>
      <c r="BH209" s="263">
        <f t="shared" si="64"/>
        <v>467.50358728674973</v>
      </c>
      <c r="BI209" s="264">
        <f t="shared" si="65"/>
        <v>467.50358728674973</v>
      </c>
      <c r="BJ209" s="264">
        <f t="shared" si="69"/>
        <v>5.4964127132502654</v>
      </c>
      <c r="BK209" s="264" t="b">
        <f t="shared" si="66"/>
        <v>0</v>
      </c>
      <c r="BL209" s="266">
        <v>29</v>
      </c>
    </row>
    <row r="210" spans="57:64" ht="20" x14ac:dyDescent="0.3">
      <c r="BE210" s="260">
        <v>30</v>
      </c>
      <c r="BF210" s="261">
        <f t="shared" si="67"/>
        <v>774</v>
      </c>
      <c r="BG210" s="31">
        <f t="shared" si="68"/>
        <v>774</v>
      </c>
      <c r="BH210" s="263">
        <f t="shared" si="64"/>
        <v>510.50358728674973</v>
      </c>
      <c r="BI210" s="264">
        <f t="shared" si="65"/>
        <v>510.50358728674973</v>
      </c>
      <c r="BJ210" s="264">
        <f t="shared" si="69"/>
        <v>5.4964127132502654</v>
      </c>
      <c r="BK210" s="264" t="b">
        <f t="shared" si="66"/>
        <v>0</v>
      </c>
      <c r="BL210" s="266">
        <v>30</v>
      </c>
    </row>
    <row r="211" spans="57:64" ht="20" x14ac:dyDescent="0.3">
      <c r="BE211" s="260">
        <v>31</v>
      </c>
      <c r="BF211" s="261">
        <f t="shared" si="67"/>
        <v>817</v>
      </c>
      <c r="BG211" s="31">
        <f t="shared" si="68"/>
        <v>817</v>
      </c>
      <c r="BH211" s="263">
        <f t="shared" si="64"/>
        <v>553.50358728674973</v>
      </c>
      <c r="BI211" s="264">
        <f t="shared" si="65"/>
        <v>553.50358728674973</v>
      </c>
      <c r="BJ211" s="264">
        <f t="shared" si="69"/>
        <v>5.4964127132502654</v>
      </c>
      <c r="BK211" s="264" t="b">
        <f t="shared" si="66"/>
        <v>0</v>
      </c>
      <c r="BL211" s="266">
        <v>31</v>
      </c>
    </row>
    <row r="212" spans="57:64" ht="20" x14ac:dyDescent="0.3">
      <c r="BE212" s="260">
        <v>32</v>
      </c>
      <c r="BF212" s="261">
        <f t="shared" si="67"/>
        <v>860</v>
      </c>
      <c r="BG212" s="31">
        <f t="shared" si="68"/>
        <v>860</v>
      </c>
      <c r="BH212" s="263">
        <f t="shared" si="64"/>
        <v>596.50358728674973</v>
      </c>
      <c r="BI212" s="264">
        <f t="shared" si="65"/>
        <v>596.50358728674973</v>
      </c>
      <c r="BJ212" s="264">
        <f t="shared" si="69"/>
        <v>5.4964127132502654</v>
      </c>
      <c r="BK212" s="264" t="b">
        <f t="shared" si="66"/>
        <v>0</v>
      </c>
      <c r="BL212" s="266">
        <v>32</v>
      </c>
    </row>
    <row r="213" spans="57:64" ht="20" x14ac:dyDescent="0.3">
      <c r="BE213" s="260">
        <v>33</v>
      </c>
      <c r="BF213" s="261">
        <f t="shared" si="67"/>
        <v>903</v>
      </c>
      <c r="BG213" s="31">
        <f t="shared" si="68"/>
        <v>903</v>
      </c>
      <c r="BH213" s="263">
        <f t="shared" si="64"/>
        <v>639.50358728674973</v>
      </c>
      <c r="BI213" s="264">
        <f t="shared" si="65"/>
        <v>639.50358728674973</v>
      </c>
      <c r="BJ213" s="264">
        <f t="shared" si="69"/>
        <v>5.4964127132502654</v>
      </c>
      <c r="BK213" s="264" t="b">
        <f t="shared" si="66"/>
        <v>0</v>
      </c>
      <c r="BL213" s="266">
        <v>33</v>
      </c>
    </row>
    <row r="214" spans="57:64" ht="20" x14ac:dyDescent="0.3">
      <c r="BE214" s="260">
        <v>34</v>
      </c>
      <c r="BF214" s="261">
        <f t="shared" si="67"/>
        <v>946</v>
      </c>
      <c r="BG214" s="31">
        <f t="shared" si="68"/>
        <v>946</v>
      </c>
      <c r="BH214" s="263">
        <f t="shared" si="64"/>
        <v>682.50358728674973</v>
      </c>
      <c r="BI214" s="264">
        <f t="shared" si="65"/>
        <v>682.50358728674973</v>
      </c>
      <c r="BJ214" s="264">
        <f t="shared" si="69"/>
        <v>5.4964127132502654</v>
      </c>
      <c r="BK214" s="264" t="b">
        <f t="shared" si="66"/>
        <v>0</v>
      </c>
      <c r="BL214" s="266">
        <v>34</v>
      </c>
    </row>
    <row r="215" spans="57:64" ht="20" x14ac:dyDescent="0.3">
      <c r="BE215" s="260">
        <v>35</v>
      </c>
      <c r="BF215" s="261">
        <f t="shared" si="67"/>
        <v>989</v>
      </c>
      <c r="BG215" s="31">
        <f t="shared" si="68"/>
        <v>989</v>
      </c>
      <c r="BH215" s="263">
        <f t="shared" si="64"/>
        <v>725.50358728674973</v>
      </c>
      <c r="BI215" s="264">
        <f t="shared" si="65"/>
        <v>725.50358728674973</v>
      </c>
      <c r="BJ215" s="264">
        <f t="shared" si="69"/>
        <v>5.4964127132502654</v>
      </c>
      <c r="BK215" s="264" t="b">
        <f t="shared" si="66"/>
        <v>0</v>
      </c>
      <c r="BL215" s="266">
        <v>35</v>
      </c>
    </row>
    <row r="216" spans="57:64" ht="20" x14ac:dyDescent="0.3">
      <c r="BE216" s="260">
        <v>36</v>
      </c>
      <c r="BF216" s="261">
        <f t="shared" si="67"/>
        <v>1032</v>
      </c>
      <c r="BG216" s="31">
        <f t="shared" si="68"/>
        <v>1032</v>
      </c>
      <c r="BH216" s="263">
        <f t="shared" si="64"/>
        <v>768.50358728674973</v>
      </c>
      <c r="BI216" s="264">
        <f t="shared" si="65"/>
        <v>768.50358728674973</v>
      </c>
      <c r="BJ216" s="264">
        <f t="shared" si="69"/>
        <v>5.4964127132502654</v>
      </c>
      <c r="BK216" s="264" t="b">
        <f t="shared" si="66"/>
        <v>0</v>
      </c>
      <c r="BL216" s="266">
        <v>36</v>
      </c>
    </row>
    <row r="217" spans="57:64" ht="20" x14ac:dyDescent="0.3">
      <c r="BE217" s="270">
        <v>37</v>
      </c>
      <c r="BF217" s="271">
        <f t="shared" si="67"/>
        <v>1075</v>
      </c>
      <c r="BG217" s="31">
        <f t="shared" si="68"/>
        <v>1075</v>
      </c>
      <c r="BH217" s="263">
        <f t="shared" si="64"/>
        <v>811.50358728674973</v>
      </c>
      <c r="BI217" s="264">
        <f t="shared" si="65"/>
        <v>811.50358728674973</v>
      </c>
      <c r="BJ217" s="264">
        <f t="shared" si="69"/>
        <v>5.4964127132502654</v>
      </c>
      <c r="BK217" s="264" t="b">
        <f t="shared" si="66"/>
        <v>0</v>
      </c>
      <c r="BL217" s="272">
        <v>37</v>
      </c>
    </row>
  </sheetData>
  <sheetProtection algorithmName="SHA-512" hashValue="nC0yb6e2Jz6JDSvONIwi2Ol80JJdlOeT+40YoteeDJCGM/RN9MxnvLBG8CpJITa5MFepc7ub6tzd+gtsfu1l4A==" saltValue="iuFYB90L1KPO7nk0/ZJXoA==" spinCount="100000" sheet="1" objects="1" scenarios="1" selectLockedCells="1"/>
  <protectedRanges>
    <protectedRange sqref="B144 B147 D150:D161 B170 D173:D178" name="Range1"/>
  </protectedRanges>
  <mergeCells count="23">
    <mergeCell ref="BV146:BW146"/>
    <mergeCell ref="B142:B143"/>
    <mergeCell ref="W147:AA147"/>
    <mergeCell ref="AZ147:BA147"/>
    <mergeCell ref="AZ170:BA170"/>
    <mergeCell ref="BV144:BX144"/>
    <mergeCell ref="DF122:DG122"/>
    <mergeCell ref="CH146:CI146"/>
    <mergeCell ref="DK151:DM151"/>
    <mergeCell ref="DK153:DL153"/>
    <mergeCell ref="DW153:DX153"/>
    <mergeCell ref="B86:E86"/>
    <mergeCell ref="BQ25:BR25"/>
    <mergeCell ref="CQ26:DA27"/>
    <mergeCell ref="BQ27:BR27"/>
    <mergeCell ref="CO27:CP27"/>
    <mergeCell ref="BQ29:CA30"/>
    <mergeCell ref="CB30:CC30"/>
    <mergeCell ref="CZ30:DA30"/>
    <mergeCell ref="BQ32:CA33"/>
    <mergeCell ref="CS32:DA33"/>
    <mergeCell ref="CB33:CC33"/>
    <mergeCell ref="CQ33:CR33"/>
  </mergeCells>
  <conditionalFormatting sqref="B150:B161">
    <cfRule type="cellIs" dxfId="125" priority="115" stopIfTrue="1" operator="greaterThan">
      <formula>$B$147</formula>
    </cfRule>
  </conditionalFormatting>
  <conditionalFormatting sqref="B174:G174 J174:AH174 AJ174 AM174 AO174:BA174 AP175:AP178">
    <cfRule type="expression" dxfId="124" priority="100" stopIfTrue="1">
      <formula>$B$170&lt;2</formula>
    </cfRule>
  </conditionalFormatting>
  <conditionalFormatting sqref="B175:G175 J175:AH175 AJ175 AM175 AO175 AQ175:BA175">
    <cfRule type="expression" dxfId="123" priority="99" stopIfTrue="1">
      <formula>$B$170&lt;3</formula>
    </cfRule>
  </conditionalFormatting>
  <conditionalFormatting sqref="B176:G176 J176:AH176 AJ176 AM176 AO176 AQ176:BA176">
    <cfRule type="expression" dxfId="122" priority="98" stopIfTrue="1">
      <formula>$B$170&lt;4</formula>
    </cfRule>
  </conditionalFormatting>
  <conditionalFormatting sqref="B177:G177 J177:AH177 AJ177 AM177 AO177 AQ177:BA177">
    <cfRule type="expression" dxfId="121" priority="97" stopIfTrue="1">
      <formula>$B$170&lt;5</formula>
    </cfRule>
  </conditionalFormatting>
  <conditionalFormatting sqref="B178:G178 J178:AH178 AJ178 AM178 AO178 AQ178:BA178">
    <cfRule type="expression" dxfId="120" priority="96">
      <formula>$B$170&lt;6</formula>
    </cfRule>
  </conditionalFormatting>
  <conditionalFormatting sqref="C94">
    <cfRule type="cellIs" dxfId="119" priority="45" stopIfTrue="1" operator="between">
      <formula>"OVERLOAD"</formula>
      <formula>"OVERLOAD"</formula>
    </cfRule>
  </conditionalFormatting>
  <conditionalFormatting sqref="D141:D142">
    <cfRule type="cellIs" dxfId="118" priority="24" stopIfTrue="1" operator="equal">
      <formula>"change the angle of frame or of cabinets"</formula>
    </cfRule>
  </conditionalFormatting>
  <conditionalFormatting sqref="D143">
    <cfRule type="cellIs" dxfId="117" priority="23" stopIfTrue="1" operator="equal">
      <formula>"USE EXBAR AR AT THE FRONT"</formula>
    </cfRule>
  </conditionalFormatting>
  <conditionalFormatting sqref="D144">
    <cfRule type="cellIs" dxfId="116" priority="22" stopIfTrue="1" operator="equal">
      <formula>"USE EXBAR AR AT THE BACK"</formula>
    </cfRule>
  </conditionalFormatting>
  <conditionalFormatting sqref="D150:D161">
    <cfRule type="cellIs" dxfId="115" priority="116" stopIfTrue="1" operator="notEqual">
      <formula>0</formula>
    </cfRule>
  </conditionalFormatting>
  <conditionalFormatting sqref="D173">
    <cfRule type="cellIs" dxfId="114" priority="21" stopIfTrue="1" operator="notEqual">
      <formula>0</formula>
    </cfRule>
  </conditionalFormatting>
  <conditionalFormatting sqref="D174:D178">
    <cfRule type="cellIs" dxfId="113" priority="104" stopIfTrue="1" operator="notEqual">
      <formula>0</formula>
    </cfRule>
  </conditionalFormatting>
  <conditionalFormatting sqref="D175:D178">
    <cfRule type="expression" dxfId="112" priority="1" stopIfTrue="1">
      <formula>$B$170&lt;2</formula>
    </cfRule>
  </conditionalFormatting>
  <conditionalFormatting sqref="D150:G150">
    <cfRule type="expression" dxfId="111" priority="67" stopIfTrue="1">
      <formula>$B$147&lt;1</formula>
    </cfRule>
  </conditionalFormatting>
  <conditionalFormatting sqref="D151:G151">
    <cfRule type="expression" dxfId="110" priority="66" stopIfTrue="1">
      <formula>$B$147&lt;2</formula>
    </cfRule>
  </conditionalFormatting>
  <conditionalFormatting sqref="D152:G152">
    <cfRule type="expression" dxfId="109" priority="65" stopIfTrue="1">
      <formula>$B$147&lt;3</formula>
    </cfRule>
  </conditionalFormatting>
  <conditionalFormatting sqref="D153:G153">
    <cfRule type="expression" dxfId="108" priority="64" stopIfTrue="1">
      <formula>$B$147&lt;4</formula>
    </cfRule>
  </conditionalFormatting>
  <conditionalFormatting sqref="D154:G154">
    <cfRule type="expression" dxfId="107" priority="63" stopIfTrue="1">
      <formula>$B$147&lt;5</formula>
    </cfRule>
  </conditionalFormatting>
  <conditionalFormatting sqref="D155:G155">
    <cfRule type="expression" dxfId="106" priority="62" stopIfTrue="1">
      <formula>$B$147&lt;6</formula>
    </cfRule>
  </conditionalFormatting>
  <conditionalFormatting sqref="D156:G156">
    <cfRule type="expression" dxfId="105" priority="61" stopIfTrue="1">
      <formula>$B$147&lt;7</formula>
    </cfRule>
  </conditionalFormatting>
  <conditionalFormatting sqref="D157:G157">
    <cfRule type="expression" dxfId="104" priority="60" stopIfTrue="1">
      <formula>$B$147&lt;8</formula>
    </cfRule>
  </conditionalFormatting>
  <conditionalFormatting sqref="D158:G158">
    <cfRule type="expression" dxfId="103" priority="59" stopIfTrue="1">
      <formula>$B$147&lt;9</formula>
    </cfRule>
  </conditionalFormatting>
  <conditionalFormatting sqref="D159:G159">
    <cfRule type="expression" dxfId="102" priority="58" stopIfTrue="1">
      <formula>$B$147&lt;10</formula>
    </cfRule>
  </conditionalFormatting>
  <conditionalFormatting sqref="D160:G160">
    <cfRule type="expression" dxfId="101" priority="57" stopIfTrue="1">
      <formula>$B$147&lt;11</formula>
    </cfRule>
  </conditionalFormatting>
  <conditionalFormatting sqref="D161:G161 J161:AB161 AX161:BA161">
    <cfRule type="expression" dxfId="100" priority="55" stopIfTrue="1">
      <formula>$B$147&lt;12</formula>
    </cfRule>
  </conditionalFormatting>
  <conditionalFormatting sqref="E144 E143:G143">
    <cfRule type="cellIs" dxfId="99" priority="119" stopIfTrue="1" operator="equal">
      <formula>"USE EXBAR VR AT THE FRONT"</formula>
    </cfRule>
  </conditionalFormatting>
  <conditionalFormatting sqref="E101:F101 E142:G142">
    <cfRule type="cellIs" dxfId="98" priority="117" stopIfTrue="1" operator="equal">
      <formula>"change the angle of frame or of cabinets"</formula>
    </cfRule>
  </conditionalFormatting>
  <conditionalFormatting sqref="E144:G144">
    <cfRule type="cellIs" dxfId="97" priority="118" stopIfTrue="1" operator="equal">
      <formula>"USE EXBAR VR AT THE BACK"</formula>
    </cfRule>
  </conditionalFormatting>
  <conditionalFormatting sqref="J151:AB151 AX151:BA151">
    <cfRule type="expression" dxfId="96" priority="112" stopIfTrue="1">
      <formula>$B$147&lt;2</formula>
    </cfRule>
  </conditionalFormatting>
  <conditionalFormatting sqref="J152:AB152 AX152:BA152">
    <cfRule type="expression" dxfId="95" priority="111" stopIfTrue="1">
      <formula>$B$147&lt;3</formula>
    </cfRule>
  </conditionalFormatting>
  <conditionalFormatting sqref="J153:AB153 AX153:BA153">
    <cfRule type="expression" dxfId="94" priority="110" stopIfTrue="1">
      <formula>$B$147&lt;4</formula>
    </cfRule>
  </conditionalFormatting>
  <conditionalFormatting sqref="J154:AB154 AX154:BA154">
    <cfRule type="expression" dxfId="93" priority="109" stopIfTrue="1">
      <formula>$B$147&lt;5</formula>
    </cfRule>
  </conditionalFormatting>
  <conditionalFormatting sqref="J155:AB155 AX155:BA155">
    <cfRule type="expression" dxfId="92" priority="108" stopIfTrue="1">
      <formula>$B$147&lt;6</formula>
    </cfRule>
  </conditionalFormatting>
  <conditionalFormatting sqref="J156:AB156 AX156:BA156">
    <cfRule type="expression" dxfId="91" priority="107" stopIfTrue="1">
      <formula>$B$147&lt;7</formula>
    </cfRule>
  </conditionalFormatting>
  <conditionalFormatting sqref="J157:AB157 AX157:BA157">
    <cfRule type="expression" dxfId="90" priority="106" stopIfTrue="1">
      <formula>$B$147&lt;8</formula>
    </cfRule>
  </conditionalFormatting>
  <conditionalFormatting sqref="J158:AB158 AX158:BA158">
    <cfRule type="expression" dxfId="89" priority="105" stopIfTrue="1">
      <formula>$B$147&lt;9</formula>
    </cfRule>
  </conditionalFormatting>
  <conditionalFormatting sqref="J159:AB159 AX159:BA159">
    <cfRule type="expression" dxfId="88" priority="81" stopIfTrue="1">
      <formula>$B$147&lt;10</formula>
    </cfRule>
  </conditionalFormatting>
  <conditionalFormatting sqref="J160:AB160 AX160:BA160">
    <cfRule type="expression" dxfId="87" priority="68" stopIfTrue="1">
      <formula>$B$147&lt;11</formula>
    </cfRule>
  </conditionalFormatting>
  <conditionalFormatting sqref="K150:O150 T150:V150 X150 AB150">
    <cfRule type="expression" dxfId="86" priority="114" stopIfTrue="1">
      <formula>$B$147&lt;1</formula>
    </cfRule>
  </conditionalFormatting>
  <conditionalFormatting sqref="U26 AB26:AE26 U29:U33 AB29:AE33 U62:U94 AB62:AE94">
    <cfRule type="cellIs" dxfId="85" priority="121" stopIfTrue="1" operator="between">
      <formula>"OVERLOAD"</formula>
      <formula>"OVERLOAD"</formula>
    </cfRule>
  </conditionalFormatting>
  <conditionalFormatting sqref="W150">
    <cfRule type="expression" dxfId="84" priority="26" stopIfTrue="1">
      <formula>$B$173&lt;1</formula>
    </cfRule>
  </conditionalFormatting>
  <conditionalFormatting sqref="Y150">
    <cfRule type="expression" dxfId="83" priority="25" stopIfTrue="1">
      <formula>$B$173&lt;1</formula>
    </cfRule>
  </conditionalFormatting>
  <conditionalFormatting sqref="Z150:AA150">
    <cfRule type="expression" dxfId="82" priority="54" stopIfTrue="1">
      <formula>$B$150&lt;1</formula>
    </cfRule>
  </conditionalFormatting>
  <conditionalFormatting sqref="AC151:AC161">
    <cfRule type="expression" dxfId="81" priority="50" stopIfTrue="1">
      <formula>$B$150&lt;1</formula>
    </cfRule>
  </conditionalFormatting>
  <conditionalFormatting sqref="AC150:AD150">
    <cfRule type="expression" dxfId="80" priority="53" stopIfTrue="1">
      <formula>$B$150&lt;1</formula>
    </cfRule>
  </conditionalFormatting>
  <conditionalFormatting sqref="AD150:AE161">
    <cfRule type="expression" dxfId="79" priority="46" stopIfTrue="1">
      <formula>$B$150&lt;1</formula>
    </cfRule>
  </conditionalFormatting>
  <conditionalFormatting sqref="AZ150:BA161">
    <cfRule type="cellIs" dxfId="78" priority="113" stopIfTrue="1" operator="lessThan">
      <formula>10</formula>
    </cfRule>
  </conditionalFormatting>
  <conditionalFormatting sqref="AZ173:BA178">
    <cfRule type="cellIs" dxfId="77" priority="102" stopIfTrue="1" operator="lessThan">
      <formula>10</formula>
    </cfRule>
  </conditionalFormatting>
  <conditionalFormatting sqref="BK181:BK217">
    <cfRule type="cellIs" dxfId="76" priority="34" stopIfTrue="1" operator="equal">
      <formula>FALSE</formula>
    </cfRule>
  </conditionalFormatting>
  <conditionalFormatting sqref="BN26">
    <cfRule type="cellIs" dxfId="75" priority="20" stopIfTrue="1" operator="equal">
      <formula>"negative force at the motor"</formula>
    </cfRule>
  </conditionalFormatting>
  <conditionalFormatting sqref="BN26:BN27">
    <cfRule type="cellIs" dxfId="74" priority="19" operator="equal">
      <formula>"""OK"""</formula>
    </cfRule>
  </conditionalFormatting>
  <conditionalFormatting sqref="BN27">
    <cfRule type="cellIs" dxfId="73" priority="30" stopIfTrue="1" operator="equal">
      <formula>"overload"</formula>
    </cfRule>
  </conditionalFormatting>
  <conditionalFormatting sqref="BN29">
    <cfRule type="cellIs" dxfId="72" priority="18" stopIfTrue="1" operator="equal">
      <formula>"negative force at the motor"</formula>
    </cfRule>
  </conditionalFormatting>
  <conditionalFormatting sqref="BN29:BN30">
    <cfRule type="cellIs" dxfId="71" priority="17" operator="equal">
      <formula>"""OK"""</formula>
    </cfRule>
  </conditionalFormatting>
  <conditionalFormatting sqref="BN32">
    <cfRule type="cellIs" dxfId="70" priority="16" stopIfTrue="1" operator="equal">
      <formula>"negative force at the motor"</formula>
    </cfRule>
  </conditionalFormatting>
  <conditionalFormatting sqref="BN32:BN33">
    <cfRule type="cellIs" dxfId="69" priority="15" operator="equal">
      <formula>"""OK"""</formula>
    </cfRule>
  </conditionalFormatting>
  <conditionalFormatting sqref="BN56 BN61 BN141 BN30 BN33">
    <cfRule type="cellIs" dxfId="68" priority="28" stopIfTrue="1" operator="equal">
      <formula>"overload"</formula>
    </cfRule>
  </conditionalFormatting>
  <conditionalFormatting sqref="BN56 BN141 BN61">
    <cfRule type="cellIs" dxfId="67" priority="27" operator="equal">
      <formula>"""OK"""</formula>
    </cfRule>
  </conditionalFormatting>
  <conditionalFormatting sqref="BO55:BO56 BN56 BO140 BN141:BO141">
    <cfRule type="expression" dxfId="66" priority="12">
      <formula>$B$144&lt;&gt;0</formula>
    </cfRule>
  </conditionalFormatting>
  <conditionalFormatting sqref="BQ140:CG140">
    <cfRule type="expression" dxfId="65" priority="11">
      <formula>$B$144=0</formula>
    </cfRule>
  </conditionalFormatting>
  <conditionalFormatting sqref="BQ57:DB59 BV64:CI68 BQ169:CN170">
    <cfRule type="cellIs" dxfId="64" priority="37" stopIfTrue="1" operator="equal">
      <formula>FALSE</formula>
    </cfRule>
  </conditionalFormatting>
  <conditionalFormatting sqref="CB55:CR55">
    <cfRule type="cellIs" dxfId="63" priority="13" operator="equal">
      <formula>0</formula>
    </cfRule>
    <cfRule type="expression" dxfId="62" priority="14">
      <formula>$B$144=0</formula>
    </cfRule>
  </conditionalFormatting>
  <conditionalFormatting sqref="CK140:DA140">
    <cfRule type="expression" dxfId="61" priority="10">
      <formula>$B$144=0</formula>
    </cfRule>
  </conditionalFormatting>
  <conditionalFormatting sqref="DF174:EC174">
    <cfRule type="cellIs" dxfId="60" priority="42" stopIfTrue="1" operator="equal">
      <formula>0</formula>
    </cfRule>
  </conditionalFormatting>
  <conditionalFormatting sqref="DF176:EC177">
    <cfRule type="cellIs" dxfId="59" priority="120" stopIfTrue="1" operator="equal">
      <formula>FALSE</formula>
    </cfRule>
  </conditionalFormatting>
  <dataValidations count="8">
    <dataValidation type="decimal" allowBlank="1" showInputMessage="1" showErrorMessage="1" sqref="F150:G150 F173:G173" xr:uid="{00000000-0002-0000-0700-000000000000}">
      <formula1>0</formula1>
      <formula2>4</formula2>
    </dataValidation>
    <dataValidation type="decimal" allowBlank="1" showInputMessage="1" showErrorMessage="1" sqref="G151:G161 G174:G178 F152:F161 F175:F178" xr:uid="{00000000-0002-0000-0700-000001000000}">
      <formula1>0</formula1>
      <formula2>8</formula2>
    </dataValidation>
    <dataValidation type="whole" allowBlank="1" showInputMessage="1" showErrorMessage="1" errorTitle="Coda Audio" error="YOU HAVE ENTERED A WRONG NUMBER OF CABINETS" promptTitle="Coda Audio" prompt="ENTER THE NUMBER OF CABINETS FROM 1 UP TO 10" sqref="B147" xr:uid="{00000000-0002-0000-0700-000002000000}">
      <formula1>1</formula1>
      <formula2>10</formula2>
    </dataValidation>
    <dataValidation type="whole" allowBlank="1" showInputMessage="1" showErrorMessage="1" errorTitle="Coda Audio" error="YOU HAVE ENTERED A WRONG NUMBER OF CABINETS" promptTitle="Coda Audio" prompt="ENTER THE NUMBER OF CABINETS FROM 1 UP TO 6" sqref="B170" xr:uid="{00000000-0002-0000-0700-000003000000}">
      <formula1>1</formula1>
      <formula2>6</formula2>
    </dataValidation>
    <dataValidation type="list" allowBlank="1" showInputMessage="1" showErrorMessage="1" sqref="D173" xr:uid="{00000000-0002-0000-0700-000004000000}">
      <formula1>"0"</formula1>
    </dataValidation>
    <dataValidation type="custom" allowBlank="1" showInputMessage="1" showErrorMessage="1" sqref="D150:D161" xr:uid="{00000000-0002-0000-0700-000005000000}">
      <formula1>OR(D150=0,D150=2.5,D150=5)</formula1>
    </dataValidation>
    <dataValidation type="decimal" allowBlank="1" showInputMessage="1" showErrorMessage="1" sqref="B144" xr:uid="{00000000-0002-0000-0700-000006000000}">
      <formula1>-89.9</formula1>
      <formula2>89.9</formula2>
    </dataValidation>
    <dataValidation type="custom" allowBlank="1" showInputMessage="1" showErrorMessage="1" sqref="D174:D178" xr:uid="{00000000-0002-0000-0700-000007000000}">
      <formula1>OR(D174=0.5,D174=1,D174=2,D174=2.5,D174=3,D174=4,D174=5,D174=6,D174=7,D174=8,D174=9,D174=10)</formula1>
    </dataValidation>
  </dataValidations>
  <pageMargins left="0.75" right="0.75" top="1" bottom="1" header="0.5" footer="0.5"/>
  <pageSetup paperSize="9" orientation="portrait" horizontalDpi="4294967293" verticalDpi="0" r:id="rId1"/>
  <headerFooter alignWithMargins="0"/>
  <ignoredErrors>
    <ignoredError sqref="BN26:BO26 BN35:BO60 BN28:BO29 BN27 BN31:BO34 BN30 BN61" unlockedFormula="1"/>
  </ignoredErrors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7" tint="0.59999389629810485"/>
  </sheetPr>
  <dimension ref="A1:DM195"/>
  <sheetViews>
    <sheetView topLeftCell="A27" zoomScale="50" zoomScaleNormal="50" workbookViewId="0">
      <selection activeCell="D149" sqref="D149"/>
    </sheetView>
  </sheetViews>
  <sheetFormatPr baseColWidth="10" defaultColWidth="9.1640625" defaultRowHeight="16" x14ac:dyDescent="0.2"/>
  <cols>
    <col min="1" max="1" width="1.5" style="437" customWidth="1"/>
    <col min="2" max="2" width="33.1640625" style="436" customWidth="1"/>
    <col min="3" max="3" width="22.6640625" style="436" hidden="1" customWidth="1"/>
    <col min="4" max="4" width="30.5" style="437" customWidth="1"/>
    <col min="5" max="5" width="61.5" style="437" customWidth="1"/>
    <col min="6" max="20" width="8.33203125" style="437" hidden="1" customWidth="1"/>
    <col min="21" max="27" width="4.5" style="437" hidden="1" customWidth="1"/>
    <col min="28" max="28" width="34.5" style="437" customWidth="1"/>
    <col min="29" max="32" width="8.33203125" style="437" hidden="1" customWidth="1"/>
    <col min="33" max="33" width="12.5" style="437" hidden="1" customWidth="1"/>
    <col min="34" max="34" width="6.5" style="437" hidden="1" customWidth="1"/>
    <col min="35" max="35" width="30.33203125" style="437" hidden="1" customWidth="1"/>
    <col min="36" max="47" width="10.83203125" style="437" hidden="1" customWidth="1"/>
    <col min="48" max="48" width="26" style="437" hidden="1" customWidth="1"/>
    <col min="49" max="49" width="23.83203125" style="437" hidden="1" customWidth="1"/>
    <col min="50" max="50" width="20.83203125" style="437" hidden="1" customWidth="1"/>
    <col min="51" max="52" width="19.83203125" style="437" hidden="1" customWidth="1"/>
    <col min="53" max="54" width="15" style="437" customWidth="1"/>
    <col min="55" max="55" width="21.5" style="437" hidden="1" customWidth="1"/>
    <col min="56" max="56" width="18.6640625" style="437" hidden="1" customWidth="1"/>
    <col min="57" max="57" width="23.5" style="437" hidden="1" customWidth="1"/>
    <col min="58" max="58" width="22.5" style="437" hidden="1" customWidth="1"/>
    <col min="59" max="59" width="17.5" hidden="1" customWidth="1"/>
    <col min="60" max="60" width="21.5" hidden="1" customWidth="1"/>
    <col min="61" max="61" width="13" hidden="1" customWidth="1"/>
    <col min="62" max="62" width="15" hidden="1" customWidth="1"/>
    <col min="63" max="63" width="23.5" hidden="1" customWidth="1"/>
    <col min="64" max="64" width="10.83203125" hidden="1" customWidth="1"/>
    <col min="65" max="65" width="13.33203125" hidden="1" customWidth="1"/>
    <col min="66" max="66" width="17.6640625" hidden="1" customWidth="1"/>
    <col min="67" max="67" width="12.83203125" style="65" hidden="1" customWidth="1"/>
    <col min="68" max="68" width="24.83203125" bestFit="1" customWidth="1"/>
    <col min="69" max="69" width="36.5" style="43" customWidth="1"/>
    <col min="70" max="70" width="45.33203125" customWidth="1"/>
    <col min="71" max="81" width="6.5" customWidth="1"/>
    <col min="82" max="82" width="8.33203125" customWidth="1"/>
    <col min="83" max="95" width="6.5" customWidth="1"/>
    <col min="96" max="96" width="8" customWidth="1"/>
    <col min="97" max="107" width="6.5" customWidth="1"/>
    <col min="108" max="108" width="7.6640625" hidden="1" customWidth="1"/>
    <col min="109" max="109" width="16" hidden="1" customWidth="1"/>
    <col min="110" max="110" width="41" hidden="1" customWidth="1"/>
    <col min="111" max="111" width="9.33203125" style="437" hidden="1" customWidth="1"/>
    <col min="112" max="117" width="9.1640625" style="437" hidden="1" customWidth="1"/>
    <col min="118" max="132" width="9.1640625" style="437" customWidth="1"/>
    <col min="133" max="16384" width="9.1640625" style="437"/>
  </cols>
  <sheetData>
    <row r="1" spans="2:110" s="50" customFormat="1" ht="20" hidden="1" x14ac:dyDescent="0.2">
      <c r="B1" s="436"/>
      <c r="C1" s="437"/>
      <c r="D1" s="438" t="s">
        <v>93</v>
      </c>
      <c r="E1" s="438" t="s">
        <v>94</v>
      </c>
      <c r="F1" s="438" t="s">
        <v>95</v>
      </c>
      <c r="G1" s="789" t="s">
        <v>165</v>
      </c>
      <c r="H1" s="846">
        <v>18000</v>
      </c>
      <c r="I1" s="791"/>
      <c r="J1" s="791"/>
      <c r="K1" s="791"/>
      <c r="L1" s="791"/>
      <c r="M1" s="791"/>
      <c r="N1" s="791"/>
      <c r="O1" s="792"/>
      <c r="BG1"/>
      <c r="BH1"/>
      <c r="BI1"/>
      <c r="BJ1"/>
      <c r="BK1"/>
      <c r="BL1"/>
      <c r="BM1"/>
      <c r="BN1"/>
      <c r="BO1" s="65"/>
      <c r="BP1"/>
      <c r="BQ1" s="43"/>
      <c r="BR1"/>
      <c r="BS1"/>
      <c r="BT1"/>
      <c r="BU1"/>
      <c r="BV1"/>
      <c r="BW1"/>
      <c r="BX1"/>
      <c r="BY1"/>
      <c r="BZ1"/>
      <c r="CA1"/>
      <c r="CB1"/>
      <c r="CC1"/>
      <c r="CD1"/>
      <c r="CE1"/>
      <c r="CF1"/>
      <c r="CG1"/>
      <c r="CH1"/>
      <c r="CI1"/>
      <c r="CJ1"/>
      <c r="CK1"/>
      <c r="CL1"/>
      <c r="CM1"/>
      <c r="CN1"/>
      <c r="CO1"/>
      <c r="CP1"/>
      <c r="CQ1"/>
      <c r="CR1"/>
      <c r="CS1"/>
      <c r="CT1"/>
      <c r="CU1"/>
      <c r="CV1"/>
      <c r="CW1"/>
      <c r="CX1"/>
      <c r="CY1"/>
      <c r="CZ1"/>
      <c r="DA1"/>
      <c r="DB1"/>
      <c r="DC1"/>
      <c r="DD1"/>
      <c r="DE1"/>
      <c r="DF1"/>
    </row>
    <row r="2" spans="2:110" ht="25" hidden="1" x14ac:dyDescent="0.25">
      <c r="B2" s="439" t="s">
        <v>24</v>
      </c>
      <c r="C2" s="28">
        <v>688</v>
      </c>
      <c r="D2" s="29">
        <f>+COS(($B$138*-1)*3.14159265358979/180)*C2</f>
        <v>688</v>
      </c>
      <c r="E2" s="30">
        <f>+COS(($B$138*-1)*3.14159265358979/180)*43</f>
        <v>43</v>
      </c>
      <c r="F2" s="31">
        <f>+COS((($B$138*-1)+72.969997)*3.14159265358979/180)*162.1867</f>
        <v>47.500013702602963</v>
      </c>
      <c r="G2" s="793" t="s">
        <v>157</v>
      </c>
      <c r="H2" s="847">
        <v>77</v>
      </c>
      <c r="I2"/>
      <c r="J2"/>
      <c r="K2"/>
      <c r="L2"/>
      <c r="M2"/>
      <c r="N2"/>
      <c r="O2" s="794"/>
      <c r="U2" s="440"/>
      <c r="BD2" s="440"/>
      <c r="BE2" s="440"/>
    </row>
    <row r="3" spans="2:110" ht="26" hidden="1" thickBot="1" x14ac:dyDescent="0.3">
      <c r="B3" s="27" t="s">
        <v>102</v>
      </c>
      <c r="C3" s="32">
        <f>+C9-47.5</f>
        <v>200.50365451979235</v>
      </c>
      <c r="D3" s="29">
        <f>+C9-F2</f>
        <v>200.50364081718939</v>
      </c>
      <c r="E3" s="441"/>
      <c r="F3" s="442"/>
      <c r="G3" s="793" t="s">
        <v>158</v>
      </c>
      <c r="H3" s="848">
        <v>215</v>
      </c>
      <c r="I3" s="165"/>
      <c r="J3"/>
      <c r="K3"/>
      <c r="L3"/>
      <c r="M3"/>
      <c r="N3"/>
      <c r="O3" s="794"/>
      <c r="BD3" s="440"/>
      <c r="BE3" s="440"/>
    </row>
    <row r="4" spans="2:110" ht="59" hidden="1" thickBot="1" x14ac:dyDescent="0.3">
      <c r="B4" s="33" t="s">
        <v>103</v>
      </c>
      <c r="C4" s="34">
        <v>1075</v>
      </c>
      <c r="D4" s="29">
        <f>+COS(($B$138*-1)*3.14159265358979/180)*C4</f>
        <v>1075</v>
      </c>
      <c r="E4" s="442"/>
      <c r="F4" s="442"/>
      <c r="G4" s="795" t="s">
        <v>178</v>
      </c>
      <c r="H4" s="849">
        <v>860</v>
      </c>
      <c r="I4" s="783">
        <v>1</v>
      </c>
      <c r="J4" s="1047" t="s">
        <v>173</v>
      </c>
      <c r="K4" s="1054"/>
      <c r="L4" s="1054"/>
      <c r="M4" s="1054"/>
      <c r="N4"/>
      <c r="O4" s="794"/>
      <c r="BD4" s="440"/>
      <c r="BE4" s="440"/>
    </row>
    <row r="5" spans="2:110" ht="39" hidden="1" x14ac:dyDescent="0.25">
      <c r="B5" s="33" t="s">
        <v>104</v>
      </c>
      <c r="C5" s="34">
        <f>+C9+425.5</f>
        <v>673.50365451979235</v>
      </c>
      <c r="D5" s="29">
        <f>+(COS(($B$138*-1)*3.14159265358979/180)*473)+$D$3</f>
        <v>673.50364081718942</v>
      </c>
      <c r="E5" s="442"/>
      <c r="F5" s="442"/>
      <c r="G5" s="795" t="s">
        <v>159</v>
      </c>
      <c r="H5" s="849">
        <v>688</v>
      </c>
      <c r="I5"/>
      <c r="J5" s="761" t="s">
        <v>162</v>
      </c>
      <c r="K5" s="761" t="s">
        <v>170</v>
      </c>
      <c r="L5" s="771" t="s">
        <v>169</v>
      </c>
      <c r="M5" s="924"/>
      <c r="N5"/>
      <c r="O5" s="794"/>
      <c r="U5" s="440"/>
      <c r="AB5" s="440"/>
      <c r="AC5" s="440"/>
      <c r="AD5" s="440"/>
      <c r="AE5" s="440"/>
    </row>
    <row r="6" spans="2:110" ht="26" hidden="1" thickBot="1" x14ac:dyDescent="0.3">
      <c r="B6" s="443"/>
      <c r="C6" s="443"/>
      <c r="D6" s="442"/>
      <c r="E6" s="442"/>
      <c r="F6" s="442"/>
      <c r="G6" s="795" t="s">
        <v>204</v>
      </c>
      <c r="H6" s="849">
        <v>602</v>
      </c>
      <c r="I6"/>
      <c r="J6" s="763">
        <f>+H9/H8*BS29</f>
        <v>145.92805345107698</v>
      </c>
      <c r="K6" s="763">
        <f>((H8-H9)/H8)*BS29</f>
        <v>-100.32553674761543</v>
      </c>
      <c r="L6" s="763">
        <f>+CQ29</f>
        <v>76.497483296538434</v>
      </c>
      <c r="M6" s="761" t="s">
        <v>168</v>
      </c>
      <c r="N6"/>
      <c r="O6" s="794"/>
      <c r="U6" s="440"/>
      <c r="AB6" s="440"/>
      <c r="AC6" s="440"/>
      <c r="AD6" s="440"/>
      <c r="AE6" s="440"/>
      <c r="BD6" s="444"/>
      <c r="BE6" s="444"/>
    </row>
    <row r="7" spans="2:110" ht="26" hidden="1" thickBot="1" x14ac:dyDescent="0.3">
      <c r="B7" s="445" t="s">
        <v>16</v>
      </c>
      <c r="C7" s="1010">
        <f>+(B146*C10)+(B182*C11)+31+4.5+0.5+1.3+30</f>
        <v>122.1</v>
      </c>
      <c r="D7" s="887" t="s">
        <v>273</v>
      </c>
      <c r="E7" s="442"/>
      <c r="F7" s="442"/>
      <c r="G7" s="796" t="s">
        <v>175</v>
      </c>
      <c r="H7" s="850">
        <f>(+SIN(($B$138*-1)*3.14159265358979/180)*H2)</f>
        <v>0</v>
      </c>
      <c r="I7"/>
      <c r="J7" s="764">
        <f>ABS($H$1/J6)</f>
        <v>123.34845544989456</v>
      </c>
      <c r="K7" s="764">
        <f>ABS($H$1/K6)</f>
        <v>179.41593519984661</v>
      </c>
      <c r="L7" s="764">
        <f>ABS($H$1/L6)</f>
        <v>235.30185862747871</v>
      </c>
      <c r="M7" s="766" t="s">
        <v>167</v>
      </c>
      <c r="N7"/>
      <c r="O7" s="794"/>
      <c r="U7" s="440"/>
      <c r="AB7" s="440"/>
      <c r="AC7" s="440"/>
      <c r="AD7" s="440"/>
      <c r="AE7" s="440"/>
      <c r="BD7" s="444"/>
      <c r="BE7" s="444"/>
    </row>
    <row r="8" spans="2:110" ht="25" hidden="1" x14ac:dyDescent="0.25">
      <c r="B8" s="445" t="s">
        <v>17</v>
      </c>
      <c r="C8" s="445">
        <f>+AR149</f>
        <v>492.38472428969055</v>
      </c>
      <c r="D8" s="442"/>
      <c r="E8" s="442"/>
      <c r="F8" s="442"/>
      <c r="G8" s="796" t="s">
        <v>174</v>
      </c>
      <c r="H8" s="850">
        <f>(+COS(($B$138*-1)*3.14159265358979/180)*H3)</f>
        <v>215</v>
      </c>
      <c r="I8"/>
      <c r="J8" s="1045">
        <f>ABS($F$15/BS29)</f>
        <v>175.42891441762782</v>
      </c>
      <c r="K8" s="1045"/>
      <c r="L8" s="1045">
        <f>ABS($F$15/CQ29)</f>
        <v>104.57860383443497</v>
      </c>
      <c r="M8" s="1046" t="s">
        <v>308</v>
      </c>
      <c r="N8"/>
      <c r="O8" s="794"/>
      <c r="U8" s="440"/>
      <c r="AB8" s="440"/>
      <c r="AC8" s="440"/>
      <c r="AD8" s="440"/>
      <c r="AE8" s="440"/>
    </row>
    <row r="9" spans="2:110" ht="25" hidden="1" x14ac:dyDescent="0.25">
      <c r="B9" s="445" t="s">
        <v>14</v>
      </c>
      <c r="C9" s="445">
        <f>+AO145</f>
        <v>248.00365451979235</v>
      </c>
      <c r="D9" s="442"/>
      <c r="E9" s="442"/>
      <c r="F9" s="442"/>
      <c r="G9" s="793" t="s">
        <v>172</v>
      </c>
      <c r="H9" s="850">
        <f>+D2+H7</f>
        <v>688</v>
      </c>
      <c r="I9"/>
      <c r="J9" s="43"/>
      <c r="K9" s="43"/>
      <c r="L9" s="43"/>
      <c r="M9" s="43"/>
      <c r="N9"/>
      <c r="O9" s="794"/>
      <c r="U9" s="440"/>
      <c r="AB9" s="440"/>
      <c r="AC9" s="440"/>
      <c r="AD9" s="440"/>
      <c r="AE9" s="440"/>
      <c r="BD9" s="446"/>
      <c r="BE9" s="446"/>
    </row>
    <row r="10" spans="2:110" ht="25" hidden="1" x14ac:dyDescent="0.25">
      <c r="B10" s="912" t="s">
        <v>221</v>
      </c>
      <c r="C10" s="913">
        <v>29.3</v>
      </c>
      <c r="D10" s="1011" t="s">
        <v>222</v>
      </c>
      <c r="E10" s="442"/>
      <c r="F10" s="442"/>
      <c r="G10" s="1008"/>
      <c r="H10" s="1009"/>
      <c r="I10"/>
      <c r="J10" s="43"/>
      <c r="K10" s="43"/>
      <c r="L10" s="43"/>
      <c r="M10" s="43"/>
      <c r="N10"/>
      <c r="O10" s="794"/>
      <c r="U10" s="440"/>
      <c r="AB10" s="440"/>
      <c r="AC10" s="440"/>
      <c r="AD10" s="440"/>
      <c r="AE10" s="440"/>
      <c r="BD10" s="446"/>
      <c r="BE10" s="446"/>
    </row>
    <row r="11" spans="2:110" ht="26" hidden="1" thickBot="1" x14ac:dyDescent="0.3">
      <c r="B11" s="912" t="s">
        <v>271</v>
      </c>
      <c r="C11" s="913">
        <v>25.5</v>
      </c>
      <c r="D11" s="1011" t="s">
        <v>272</v>
      </c>
      <c r="E11" s="442"/>
      <c r="F11" s="442"/>
      <c r="G11" s="1008"/>
      <c r="H11" s="1009"/>
      <c r="I11"/>
      <c r="J11" s="43"/>
      <c r="K11" s="43"/>
      <c r="L11" s="43"/>
      <c r="M11" s="43"/>
      <c r="N11"/>
      <c r="O11" s="794"/>
      <c r="U11" s="440"/>
      <c r="AB11" s="440"/>
      <c r="AC11" s="440"/>
      <c r="AD11" s="440"/>
      <c r="AE11" s="440"/>
      <c r="BD11" s="446"/>
      <c r="BE11" s="446"/>
    </row>
    <row r="12" spans="2:110" ht="26" hidden="1" thickBot="1" x14ac:dyDescent="0.3">
      <c r="D12" s="442"/>
      <c r="E12" s="442"/>
      <c r="F12" s="442"/>
      <c r="G12" s="797"/>
      <c r="H12"/>
      <c r="I12" s="783">
        <v>2</v>
      </c>
      <c r="J12" s="1047" t="s">
        <v>180</v>
      </c>
      <c r="K12" s="1047"/>
      <c r="L12" s="1049"/>
      <c r="M12" s="1049"/>
      <c r="N12"/>
      <c r="O12" s="794"/>
      <c r="U12" s="440"/>
      <c r="AB12" s="440"/>
      <c r="AC12" s="440"/>
      <c r="AD12" s="440"/>
      <c r="AE12" s="440"/>
      <c r="BD12" s="446"/>
      <c r="BE12" s="446"/>
    </row>
    <row r="13" spans="2:110" ht="20" hidden="1" x14ac:dyDescent="0.2">
      <c r="B13" s="447" t="s">
        <v>124</v>
      </c>
      <c r="C13" s="448"/>
      <c r="D13" s="449">
        <v>5800</v>
      </c>
      <c r="E13" s="449"/>
      <c r="F13" s="450">
        <v>10000</v>
      </c>
      <c r="G13" s="793" t="s">
        <v>171</v>
      </c>
      <c r="H13" s="850">
        <f>+D2-H7</f>
        <v>688</v>
      </c>
      <c r="I13"/>
      <c r="J13" s="771" t="s">
        <v>163</v>
      </c>
      <c r="K13" s="761" t="s">
        <v>160</v>
      </c>
      <c r="L13" s="761" t="s">
        <v>161</v>
      </c>
      <c r="M13" s="924"/>
      <c r="N13"/>
      <c r="O13" s="794"/>
      <c r="BD13" s="446"/>
      <c r="BE13" s="446"/>
    </row>
    <row r="14" spans="2:110" ht="20" hidden="1" x14ac:dyDescent="0.2">
      <c r="B14" s="451"/>
      <c r="C14" s="452"/>
      <c r="D14" s="453"/>
      <c r="E14" s="453"/>
      <c r="F14" s="454"/>
      <c r="G14" s="797"/>
      <c r="H14" s="26"/>
      <c r="I14"/>
      <c r="J14" s="763">
        <f>(CD32)</f>
        <v>99.32651670346155</v>
      </c>
      <c r="K14" s="763">
        <f>((+H8-H13)/H8*DB32)</f>
        <v>-50.101663252384576</v>
      </c>
      <c r="L14" s="763">
        <f>(H13/H8*DB32)</f>
        <v>72.875146548923013</v>
      </c>
      <c r="M14" s="761" t="s">
        <v>168</v>
      </c>
      <c r="N14"/>
      <c r="O14" s="794"/>
      <c r="BD14" s="446"/>
      <c r="BE14" s="446"/>
    </row>
    <row r="15" spans="2:110" ht="20" hidden="1" x14ac:dyDescent="0.2">
      <c r="B15" s="455" t="s">
        <v>125</v>
      </c>
      <c r="C15" s="452"/>
      <c r="D15" s="453">
        <v>8000</v>
      </c>
      <c r="E15" s="453">
        <v>8000</v>
      </c>
      <c r="F15" s="454">
        <v>8000</v>
      </c>
      <c r="G15" s="797"/>
      <c r="H15"/>
      <c r="I15"/>
      <c r="J15" s="764">
        <f>ABS($H$1/J14)</f>
        <v>181.22048972822478</v>
      </c>
      <c r="K15" s="764">
        <f>ABS($H$1/K14)</f>
        <v>359.26950986289449</v>
      </c>
      <c r="L15" s="764">
        <f>ABS($H$1/L14)</f>
        <v>246.99778803074</v>
      </c>
      <c r="M15" s="766" t="s">
        <v>167</v>
      </c>
      <c r="N15"/>
      <c r="O15" s="794"/>
      <c r="BD15" s="446"/>
      <c r="BE15" s="446"/>
    </row>
    <row r="16" spans="2:110" ht="20" hidden="1" x14ac:dyDescent="0.2">
      <c r="B16" s="451"/>
      <c r="C16" s="452"/>
      <c r="D16" s="456" t="s">
        <v>18</v>
      </c>
      <c r="E16" s="456"/>
      <c r="F16" s="457" t="s">
        <v>19</v>
      </c>
      <c r="G16" s="797"/>
      <c r="H16"/>
      <c r="I16"/>
      <c r="J16" s="1045">
        <f>ABS($F$15/CD32)</f>
        <v>80.542439879211003</v>
      </c>
      <c r="K16" s="1045"/>
      <c r="L16" s="1045">
        <f>ABS($F$15/DB32)</f>
        <v>351.28574297705245</v>
      </c>
      <c r="M16" s="1046" t="s">
        <v>308</v>
      </c>
      <c r="N16"/>
      <c r="O16" s="794"/>
      <c r="BD16" s="446"/>
      <c r="BE16" s="446"/>
    </row>
    <row r="17" spans="2:110" ht="21" hidden="1" thickBot="1" x14ac:dyDescent="0.25">
      <c r="B17" s="458" t="s">
        <v>15</v>
      </c>
      <c r="C17" s="459"/>
      <c r="D17" s="460">
        <f>+((C8-C9)/C8)*C7</f>
        <v>60.600841469949984</v>
      </c>
      <c r="E17" s="460"/>
      <c r="F17" s="461">
        <f>+(C9/C8)*C7</f>
        <v>61.499158530050011</v>
      </c>
      <c r="G17" s="797"/>
      <c r="H17"/>
      <c r="I17"/>
      <c r="J17" s="43"/>
      <c r="K17" s="43"/>
      <c r="L17" s="43"/>
      <c r="M17" s="43"/>
      <c r="N17"/>
      <c r="O17" s="794"/>
      <c r="BD17" s="446"/>
      <c r="BE17" s="446"/>
    </row>
    <row r="18" spans="2:110" ht="21" hidden="1" thickBot="1" x14ac:dyDescent="0.25">
      <c r="G18" s="793" t="s">
        <v>176</v>
      </c>
      <c r="H18" s="850">
        <f>+D2+H7-BN109</f>
        <v>14.496359182810579</v>
      </c>
      <c r="I18" s="783" t="s">
        <v>196</v>
      </c>
      <c r="J18" s="1047" t="s">
        <v>177</v>
      </c>
      <c r="K18" s="1054"/>
      <c r="L18" s="1054"/>
      <c r="M18" s="1054"/>
      <c r="N18"/>
      <c r="O18" s="794"/>
      <c r="BD18" s="446"/>
      <c r="BE18" s="446"/>
    </row>
    <row r="19" spans="2:110" ht="20" hidden="1" x14ac:dyDescent="0.2">
      <c r="G19" s="797"/>
      <c r="H19" s="26"/>
      <c r="I19" s="798"/>
      <c r="J19" s="761" t="s">
        <v>162</v>
      </c>
      <c r="K19" s="761" t="s">
        <v>170</v>
      </c>
      <c r="L19" s="761"/>
      <c r="M19" s="924"/>
      <c r="N19"/>
      <c r="O19" s="794"/>
      <c r="BD19" s="446"/>
      <c r="BE19" s="446"/>
    </row>
    <row r="20" spans="2:110" ht="20" hidden="1" x14ac:dyDescent="0.2">
      <c r="G20" s="797"/>
      <c r="H20"/>
      <c r="I20"/>
      <c r="J20" s="763">
        <f>+H18/H8*BS27</f>
        <v>8.2325835173077735</v>
      </c>
      <c r="K20" s="763">
        <f>((H8-H18)/H8)*BS27</f>
        <v>113.86741648269222</v>
      </c>
      <c r="L20" s="763"/>
      <c r="M20" s="761" t="s">
        <v>168</v>
      </c>
      <c r="N20"/>
      <c r="O20" s="794"/>
      <c r="BD20" s="446"/>
      <c r="BE20" s="446"/>
    </row>
    <row r="21" spans="2:110" ht="20" hidden="1" x14ac:dyDescent="0.2">
      <c r="G21" s="797"/>
      <c r="H21"/>
      <c r="I21"/>
      <c r="J21" s="764">
        <f>ABS($H$1/J20)</f>
        <v>2186.4339380411625</v>
      </c>
      <c r="K21" s="764">
        <f>ABS($H$1/K20)</f>
        <v>158.07858433967357</v>
      </c>
      <c r="L21" s="764"/>
      <c r="M21" s="766" t="s">
        <v>167</v>
      </c>
      <c r="N21"/>
      <c r="O21" s="794"/>
      <c r="BD21" s="446"/>
      <c r="BE21" s="446"/>
    </row>
    <row r="22" spans="2:110" ht="20" hidden="1" x14ac:dyDescent="0.2">
      <c r="G22" s="797"/>
      <c r="H22"/>
      <c r="I22"/>
      <c r="J22" s="1045">
        <f>ABS($F$15/BS27)</f>
        <v>65.520065520065529</v>
      </c>
      <c r="K22" s="1045"/>
      <c r="L22" s="1045"/>
      <c r="M22" s="1046" t="s">
        <v>308</v>
      </c>
      <c r="N22"/>
      <c r="O22" s="794"/>
      <c r="BD22" s="446"/>
      <c r="BE22" s="446"/>
    </row>
    <row r="23" spans="2:110" ht="17" hidden="1" thickBot="1" x14ac:dyDescent="0.25">
      <c r="G23" s="797"/>
      <c r="H23"/>
      <c r="I23"/>
      <c r="J23" s="43"/>
      <c r="K23" s="43"/>
      <c r="L23" s="43"/>
      <c r="M23" s="43"/>
      <c r="N23"/>
      <c r="O23" s="794"/>
      <c r="BD23" s="446"/>
      <c r="BE23" s="446"/>
    </row>
    <row r="24" spans="2:110" ht="21" hidden="1" thickBot="1" x14ac:dyDescent="0.25">
      <c r="G24" s="793" t="s">
        <v>164</v>
      </c>
      <c r="H24" s="850">
        <f>(+COS(($B$138*-1)*3.14159265358979/180)*(H4))</f>
        <v>860</v>
      </c>
      <c r="I24" s="783" t="s">
        <v>196</v>
      </c>
      <c r="J24" s="1047" t="s">
        <v>199</v>
      </c>
      <c r="K24" s="1054"/>
      <c r="L24" s="1054"/>
      <c r="M24" s="1054"/>
      <c r="N24"/>
      <c r="O24" s="794"/>
      <c r="AF24" s="444"/>
      <c r="BD24" s="446"/>
      <c r="BE24" s="446"/>
    </row>
    <row r="25" spans="2:110" ht="20" hidden="1" x14ac:dyDescent="0.2">
      <c r="G25" s="793" t="s">
        <v>179</v>
      </c>
      <c r="H25" s="864">
        <f>+BN109-H24+H7</f>
        <v>-186.49635918281058</v>
      </c>
      <c r="I25" s="798"/>
      <c r="J25" s="761"/>
      <c r="K25" s="761" t="s">
        <v>160</v>
      </c>
      <c r="L25" s="761" t="s">
        <v>161</v>
      </c>
      <c r="M25" s="924"/>
      <c r="N25"/>
      <c r="O25" s="794"/>
      <c r="AF25" s="444"/>
      <c r="BD25" s="446"/>
      <c r="BE25" s="446"/>
    </row>
    <row r="26" spans="2:110" ht="20" hidden="1" x14ac:dyDescent="0.2">
      <c r="G26" s="797"/>
      <c r="H26"/>
      <c r="I26"/>
      <c r="J26" s="763"/>
      <c r="K26" s="763">
        <f>((+H8-H25)/H8*BS27)</f>
        <v>228.01258351730777</v>
      </c>
      <c r="L26" s="763">
        <f>(H25/H8*BS27)</f>
        <v>-105.91258351730777</v>
      </c>
      <c r="M26" s="761" t="s">
        <v>168</v>
      </c>
      <c r="N26"/>
      <c r="O26" s="794"/>
      <c r="AF26" s="444"/>
      <c r="BD26" s="446"/>
      <c r="BE26" s="446"/>
    </row>
    <row r="27" spans="2:110" ht="33" customHeight="1" thickBot="1" x14ac:dyDescent="0.25">
      <c r="C27" s="443"/>
      <c r="E27" s="462"/>
      <c r="G27" s="797"/>
      <c r="H27"/>
      <c r="I27"/>
      <c r="J27" s="764"/>
      <c r="K27" s="764">
        <f>ABS($H$1/K26)</f>
        <v>78.943011487932523</v>
      </c>
      <c r="L27" s="764">
        <f>ABS($H$1/L26)</f>
        <v>169.95147698439931</v>
      </c>
      <c r="M27" s="766" t="s">
        <v>167</v>
      </c>
      <c r="N27"/>
      <c r="O27" s="794"/>
      <c r="AF27" s="444"/>
      <c r="BD27" s="446"/>
      <c r="BE27" s="446"/>
      <c r="BG27" s="58"/>
      <c r="BH27" s="58"/>
      <c r="BI27" s="58"/>
      <c r="BJ27" s="58"/>
      <c r="BQ27" s="48"/>
      <c r="BR27" s="59" t="s">
        <v>23</v>
      </c>
      <c r="BS27" s="1105">
        <f>+C7</f>
        <v>122.1</v>
      </c>
      <c r="BT27" s="1105"/>
      <c r="BU27" s="60" t="s">
        <v>15</v>
      </c>
      <c r="BV27" s="60"/>
      <c r="BW27" s="61" t="s">
        <v>286</v>
      </c>
      <c r="BX27" s="62"/>
      <c r="BY27" s="62"/>
      <c r="BZ27" s="62"/>
      <c r="CA27" s="62"/>
      <c r="CB27" s="62"/>
      <c r="CC27" s="62"/>
      <c r="CD27" s="62"/>
      <c r="CE27" s="62"/>
      <c r="CF27" s="62"/>
      <c r="CG27" s="62"/>
      <c r="CH27" s="62"/>
      <c r="CI27" s="62"/>
      <c r="CJ27" s="62"/>
      <c r="CK27" s="62"/>
      <c r="CL27" s="62"/>
      <c r="CM27" s="62"/>
      <c r="CN27" s="62"/>
      <c r="CO27" s="62"/>
      <c r="CP27" s="62"/>
      <c r="CQ27" s="62"/>
      <c r="CR27" s="62"/>
      <c r="CS27" s="62"/>
      <c r="CT27" s="62"/>
      <c r="CU27" s="62"/>
      <c r="CV27" s="62"/>
      <c r="CW27" s="62"/>
      <c r="CX27" s="62"/>
      <c r="CY27" s="62"/>
      <c r="CZ27" s="62"/>
      <c r="DA27" s="62"/>
      <c r="DB27" s="62"/>
      <c r="DC27" s="62"/>
      <c r="DD27" s="62"/>
      <c r="DE27" s="62"/>
      <c r="DF27" s="62"/>
    </row>
    <row r="28" spans="2:110" ht="42" customHeight="1" thickBot="1" x14ac:dyDescent="0.3">
      <c r="B28" s="437"/>
      <c r="C28" s="443"/>
      <c r="D28" s="444"/>
      <c r="E28" s="444"/>
      <c r="F28" s="444"/>
      <c r="G28" s="797"/>
      <c r="H28"/>
      <c r="I28"/>
      <c r="J28" s="1045"/>
      <c r="K28" s="1045"/>
      <c r="L28" s="1045">
        <f>ABS($F$15/BS27)</f>
        <v>65.520065520065529</v>
      </c>
      <c r="M28" s="766" t="s">
        <v>166</v>
      </c>
      <c r="N28"/>
      <c r="O28" s="794"/>
      <c r="AF28" s="444"/>
      <c r="BD28" s="446"/>
      <c r="BE28" s="446"/>
      <c r="BG28" s="68"/>
      <c r="BH28" s="68"/>
      <c r="BI28" s="68"/>
      <c r="BJ28" s="68"/>
      <c r="BO28" s="65" t="b">
        <f>AND(BS29&gt;0,CQ29&gt;0)</f>
        <v>1</v>
      </c>
      <c r="BP28" s="752" t="str">
        <f>IF(BO28=TRUE,"","negative force at the motor")</f>
        <v/>
      </c>
      <c r="BQ28" s="866" t="s">
        <v>112</v>
      </c>
      <c r="BR28" s="583" t="s">
        <v>25</v>
      </c>
      <c r="BS28" s="619" t="s">
        <v>26</v>
      </c>
      <c r="BT28" s="620"/>
      <c r="BU28" s="620"/>
      <c r="BV28" s="620"/>
      <c r="BW28" s="620"/>
      <c r="BX28" s="620"/>
      <c r="BY28" s="620"/>
      <c r="BZ28" s="620"/>
      <c r="CA28" s="620"/>
      <c r="CB28" s="620"/>
      <c r="CC28" s="620"/>
      <c r="CD28" s="620"/>
      <c r="CE28" s="620"/>
      <c r="CF28" s="620"/>
      <c r="CG28" s="620"/>
      <c r="CH28" s="620"/>
      <c r="CI28" s="620"/>
      <c r="CJ28" s="620"/>
      <c r="CK28" s="699"/>
      <c r="CL28" s="620"/>
      <c r="CM28" s="700"/>
      <c r="CN28" s="700"/>
      <c r="CO28" s="700"/>
      <c r="CP28" s="700"/>
      <c r="CQ28" s="620"/>
      <c r="CR28" s="625" t="s">
        <v>27</v>
      </c>
      <c r="CS28" s="1092"/>
      <c r="CT28" s="1092"/>
      <c r="CU28" s="1092"/>
      <c r="CV28" s="1092"/>
      <c r="CW28" s="1092"/>
      <c r="CX28" s="1092"/>
      <c r="CY28" s="1092"/>
      <c r="CZ28" s="1092"/>
      <c r="DA28" s="1092"/>
      <c r="DB28" s="1092"/>
      <c r="DC28" s="1093"/>
      <c r="DD28" s="62"/>
      <c r="DE28" s="62"/>
      <c r="DF28" s="62"/>
    </row>
    <row r="29" spans="2:110" ht="42" customHeight="1" thickBot="1" x14ac:dyDescent="0.3">
      <c r="G29" s="797"/>
      <c r="H29"/>
      <c r="I29"/>
      <c r="J29" s="43"/>
      <c r="K29" s="43"/>
      <c r="L29" s="43"/>
      <c r="M29" s="43"/>
      <c r="N29"/>
      <c r="O29" s="794"/>
      <c r="BD29" s="446"/>
      <c r="BE29" s="446"/>
      <c r="BG29" s="68"/>
      <c r="BH29" s="68"/>
      <c r="BI29" s="68"/>
      <c r="BJ29" s="68"/>
      <c r="BN29" s="767">
        <v>1</v>
      </c>
      <c r="BO29" s="1055" t="b">
        <f>AND(BQ29&gt;=10,$BA$149&gt;=10,$BB$149&gt;=10,$BA$185&gt;=10,$BB$185&gt;=10)</f>
        <v>1</v>
      </c>
      <c r="BP29" s="67" t="str">
        <f>IF(BO29=TRUE,"O K","OVERLOAD")</f>
        <v>O K</v>
      </c>
      <c r="BQ29" s="781">
        <f>+MIN(J7:L8)</f>
        <v>104.57860383443497</v>
      </c>
      <c r="BR29" s="584" t="s">
        <v>134</v>
      </c>
      <c r="BS29" s="1151">
        <f>+((D4-D5)/D4)*C7</f>
        <v>45.602516703461554</v>
      </c>
      <c r="BT29" s="1152"/>
      <c r="BU29" s="626"/>
      <c r="BV29" s="626"/>
      <c r="BW29" s="626"/>
      <c r="BX29" s="627"/>
      <c r="BY29" s="627"/>
      <c r="BZ29" s="627"/>
      <c r="CA29" s="701"/>
      <c r="CB29" s="701"/>
      <c r="CC29" s="701"/>
      <c r="CD29" s="701"/>
      <c r="CE29" s="701"/>
      <c r="CF29" s="701"/>
      <c r="CG29" s="701"/>
      <c r="CH29" s="701"/>
      <c r="CI29" s="701"/>
      <c r="CJ29" s="701"/>
      <c r="CK29" s="702"/>
      <c r="CL29" s="626"/>
      <c r="CM29" s="626"/>
      <c r="CN29" s="626"/>
      <c r="CO29" s="627"/>
      <c r="CP29" s="627"/>
      <c r="CQ29" s="1149">
        <f>+(D5/D4)*C7</f>
        <v>76.497483296538434</v>
      </c>
      <c r="CR29" s="1150"/>
      <c r="CS29" s="1094"/>
      <c r="CT29" s="1094"/>
      <c r="CU29" s="1094"/>
      <c r="CV29" s="1094"/>
      <c r="CW29" s="1094"/>
      <c r="CX29" s="1094"/>
      <c r="CY29" s="1094"/>
      <c r="CZ29" s="1094"/>
      <c r="DA29" s="1094"/>
      <c r="DB29" s="1094"/>
      <c r="DC29" s="1095"/>
      <c r="DD29" s="62"/>
      <c r="DE29" s="62"/>
      <c r="DF29" s="62"/>
    </row>
    <row r="30" spans="2:110" ht="16" customHeight="1" thickBot="1" x14ac:dyDescent="0.3">
      <c r="G30" s="797"/>
      <c r="H30"/>
      <c r="I30" s="783">
        <v>60</v>
      </c>
      <c r="J30" s="1047" t="s">
        <v>186</v>
      </c>
      <c r="K30" s="1054"/>
      <c r="L30" s="1054"/>
      <c r="M30" s="1054"/>
      <c r="N30"/>
      <c r="O30" s="794"/>
      <c r="BD30" s="446"/>
      <c r="BE30" s="446"/>
      <c r="BG30" s="68"/>
      <c r="BH30" s="68"/>
      <c r="BI30" s="68"/>
      <c r="BJ30" s="68"/>
      <c r="BP30" s="69"/>
      <c r="BQ30" s="68"/>
      <c r="BR30" s="70"/>
      <c r="BS30" s="71"/>
      <c r="BT30" s="71"/>
      <c r="BU30" s="70"/>
      <c r="BV30" s="70"/>
      <c r="BW30" s="70"/>
      <c r="BX30" s="70"/>
      <c r="BY30" s="70"/>
      <c r="BZ30" s="70"/>
      <c r="CA30" s="70"/>
      <c r="CB30" s="70"/>
      <c r="CC30" s="70"/>
      <c r="CD30" s="70"/>
      <c r="CE30" s="70"/>
      <c r="CF30" s="70"/>
      <c r="CG30" s="70"/>
      <c r="CH30" s="70"/>
      <c r="CI30" s="70"/>
      <c r="CJ30" s="70"/>
      <c r="CL30" s="60"/>
      <c r="CM30" s="60"/>
      <c r="CN30" s="71"/>
      <c r="CO30" s="72"/>
      <c r="CP30" s="72"/>
      <c r="CQ30" s="72"/>
      <c r="CR30" s="72"/>
      <c r="CS30" s="72"/>
      <c r="CT30" s="72"/>
      <c r="CU30" s="72"/>
      <c r="CV30" s="72"/>
      <c r="CW30" s="72"/>
      <c r="CX30" s="72"/>
      <c r="CY30" s="72"/>
      <c r="CZ30" s="72"/>
      <c r="DA30" s="72"/>
      <c r="DB30" s="72"/>
      <c r="DC30" s="72"/>
      <c r="DD30" s="72"/>
      <c r="DE30" s="62"/>
      <c r="DF30" s="62"/>
    </row>
    <row r="31" spans="2:110" ht="42" customHeight="1" thickBot="1" x14ac:dyDescent="0.3">
      <c r="G31" s="797"/>
      <c r="H31"/>
      <c r="I31"/>
      <c r="J31" s="761"/>
      <c r="K31" s="761" t="s">
        <v>160</v>
      </c>
      <c r="L31" s="761" t="s">
        <v>161</v>
      </c>
      <c r="M31" s="924"/>
      <c r="N31"/>
      <c r="O31" s="794"/>
      <c r="BD31" s="446"/>
      <c r="BE31" s="446"/>
      <c r="BG31" s="68"/>
      <c r="BH31" s="68"/>
      <c r="BI31" s="68"/>
      <c r="BJ31" s="68"/>
      <c r="BO31" s="65" t="b">
        <f>AND(CD32&gt;0,DB32&gt;0)</f>
        <v>1</v>
      </c>
      <c r="BP31" s="752" t="str">
        <f>IF(BO31=TRUE,"","negative force at the motor")</f>
        <v/>
      </c>
      <c r="BQ31" s="866" t="s">
        <v>112</v>
      </c>
      <c r="BR31" s="585" t="s">
        <v>25</v>
      </c>
      <c r="BS31" s="1119"/>
      <c r="BT31" s="1120"/>
      <c r="BU31" s="1120"/>
      <c r="BV31" s="1120"/>
      <c r="BW31" s="1120"/>
      <c r="BX31" s="1120"/>
      <c r="BY31" s="1120"/>
      <c r="BZ31" s="1120"/>
      <c r="CA31" s="1120"/>
      <c r="CB31" s="1120"/>
      <c r="CC31" s="1120"/>
      <c r="CD31" s="615" t="s">
        <v>26</v>
      </c>
      <c r="CE31" s="617"/>
      <c r="CF31" s="617"/>
      <c r="CG31" s="617"/>
      <c r="CH31" s="617"/>
      <c r="CI31" s="617"/>
      <c r="CJ31" s="617"/>
      <c r="CK31" s="617"/>
      <c r="CL31" s="617"/>
      <c r="CM31" s="617"/>
      <c r="CN31" s="617"/>
      <c r="CO31" s="617"/>
      <c r="CP31" s="703"/>
      <c r="CQ31" s="608"/>
      <c r="CR31" s="608"/>
      <c r="CS31" s="608"/>
      <c r="CT31" s="608"/>
      <c r="CU31" s="704"/>
      <c r="CV31" s="704"/>
      <c r="CW31" s="703"/>
      <c r="CX31" s="703"/>
      <c r="CY31" s="703"/>
      <c r="CZ31" s="703"/>
      <c r="DA31" s="703"/>
      <c r="DB31" s="608"/>
      <c r="DC31" s="609" t="s">
        <v>27</v>
      </c>
      <c r="DD31" s="73"/>
      <c r="DE31" s="62"/>
      <c r="DF31" s="62"/>
    </row>
    <row r="32" spans="2:110" ht="42" customHeight="1" thickBot="1" x14ac:dyDescent="0.3">
      <c r="G32" s="799"/>
      <c r="H32" s="47"/>
      <c r="I32"/>
      <c r="J32" s="763"/>
      <c r="K32" s="763">
        <f>((+H8-H25)/H8*BS27)</f>
        <v>228.01258351730777</v>
      </c>
      <c r="L32" s="763">
        <f>(H25/H8*BS27)</f>
        <v>-105.91258351730777</v>
      </c>
      <c r="M32" s="761" t="s">
        <v>168</v>
      </c>
      <c r="N32"/>
      <c r="O32" s="794"/>
      <c r="BD32" s="446"/>
      <c r="BE32" s="446"/>
      <c r="BN32" s="767">
        <v>2</v>
      </c>
      <c r="BO32" s="1055" t="b">
        <f>AND(BQ32&gt;=10,$BA$149&gt;=10,$BB$149&gt;=10,$BA$185&gt;=10,$BB$185&gt;=10)</f>
        <v>1</v>
      </c>
      <c r="BP32" s="67" t="str">
        <f>IF(BO32=TRUE,"O K","OVERLOAD")</f>
        <v>O K</v>
      </c>
      <c r="BQ32" s="781">
        <f>+MIN(J15:L16)</f>
        <v>80.542439879211003</v>
      </c>
      <c r="BR32" s="586" t="s">
        <v>111</v>
      </c>
      <c r="BS32" s="1121"/>
      <c r="BT32" s="1122"/>
      <c r="BU32" s="1122"/>
      <c r="BV32" s="1122"/>
      <c r="BW32" s="1122"/>
      <c r="BX32" s="1122"/>
      <c r="BY32" s="1122"/>
      <c r="BZ32" s="1122"/>
      <c r="CA32" s="1122"/>
      <c r="CB32" s="1122"/>
      <c r="CC32" s="1122"/>
      <c r="CD32" s="1142">
        <f>+((D4-D3)/D4)*C7</f>
        <v>99.32651670346155</v>
      </c>
      <c r="CE32" s="1143"/>
      <c r="CF32" s="705"/>
      <c r="CG32" s="705"/>
      <c r="CH32" s="705"/>
      <c r="CI32" s="705"/>
      <c r="CJ32" s="705"/>
      <c r="CK32" s="705"/>
      <c r="CL32" s="705"/>
      <c r="CM32" s="705"/>
      <c r="CN32" s="705"/>
      <c r="CO32" s="705"/>
      <c r="CP32" s="706"/>
      <c r="CQ32" s="707"/>
      <c r="CR32" s="707"/>
      <c r="CS32" s="707"/>
      <c r="CT32" s="707"/>
      <c r="CU32" s="708"/>
      <c r="CV32" s="708"/>
      <c r="CW32" s="698"/>
      <c r="CX32" s="698"/>
      <c r="CY32" s="698"/>
      <c r="CZ32" s="698"/>
      <c r="DA32" s="698"/>
      <c r="DB32" s="1147">
        <f>+(D3/D4)*C7</f>
        <v>22.773483296538441</v>
      </c>
      <c r="DC32" s="1148"/>
      <c r="DD32" s="75"/>
      <c r="DE32" s="62"/>
      <c r="DF32" s="62"/>
    </row>
    <row r="33" spans="2:110" ht="18.75" customHeight="1" thickBot="1" x14ac:dyDescent="0.3">
      <c r="G33" s="799"/>
      <c r="H33" s="47"/>
      <c r="I33"/>
      <c r="J33" s="764"/>
      <c r="K33" s="764">
        <f>ABS($H$1/K32)</f>
        <v>78.943011487932523</v>
      </c>
      <c r="L33" s="764">
        <f>ABS($H$1/L32)</f>
        <v>169.95147698439931</v>
      </c>
      <c r="M33" s="766" t="s">
        <v>167</v>
      </c>
      <c r="N33"/>
      <c r="O33" s="794"/>
      <c r="BD33" s="446"/>
      <c r="BE33" s="446"/>
      <c r="BP33" s="69"/>
      <c r="BQ33" s="11"/>
      <c r="BR33" s="76"/>
      <c r="BS33" s="76"/>
      <c r="BT33" s="76"/>
      <c r="BU33" s="76"/>
      <c r="BV33" s="76"/>
      <c r="BW33" s="76"/>
      <c r="BX33" s="76"/>
      <c r="BY33" s="76"/>
      <c r="BZ33" s="76"/>
      <c r="CA33" s="77"/>
      <c r="CB33" s="77"/>
      <c r="CC33" s="72"/>
      <c r="CD33" s="72"/>
      <c r="CE33" s="72"/>
      <c r="CF33" s="72"/>
      <c r="CG33" s="72"/>
      <c r="CH33" s="72"/>
      <c r="CI33" s="72"/>
      <c r="CJ33" s="72"/>
      <c r="CK33" s="72"/>
      <c r="CL33" s="72"/>
      <c r="CM33" s="72"/>
      <c r="CN33" s="72"/>
      <c r="CO33" s="72"/>
      <c r="CP33" s="26"/>
      <c r="CQ33" s="78"/>
      <c r="CR33" s="78"/>
      <c r="CS33" s="78"/>
      <c r="CT33" s="78"/>
      <c r="CU33" s="75"/>
      <c r="CV33" s="75"/>
      <c r="CW33" s="75"/>
      <c r="CX33" s="75"/>
      <c r="CY33" s="75"/>
      <c r="CZ33" s="75"/>
      <c r="DA33" s="75"/>
      <c r="DB33" s="75"/>
      <c r="DC33" s="75"/>
      <c r="DD33" s="75"/>
      <c r="DE33" s="62"/>
      <c r="DF33" s="62"/>
    </row>
    <row r="34" spans="2:110" ht="42" customHeight="1" thickBot="1" x14ac:dyDescent="0.25">
      <c r="G34" s="799"/>
      <c r="H34" s="47"/>
      <c r="I34"/>
      <c r="J34" s="1045"/>
      <c r="K34" s="1045"/>
      <c r="L34" s="1045">
        <f>ABS($F$15/BS27)*2</f>
        <v>131.04013104013106</v>
      </c>
      <c r="M34" s="1046" t="s">
        <v>308</v>
      </c>
      <c r="N34" s="1052" t="s">
        <v>309</v>
      </c>
      <c r="O34" s="794"/>
      <c r="BD34" s="446"/>
      <c r="BE34" s="446"/>
      <c r="BO34" s="65" t="b">
        <f>AND(CD35&gt;0,CS35&gt;0)</f>
        <v>1</v>
      </c>
      <c r="BP34" s="752" t="str">
        <f>IF(BO34=TRUE,"","negative force at the motor")</f>
        <v/>
      </c>
      <c r="BQ34" s="866" t="s">
        <v>112</v>
      </c>
      <c r="BR34" s="738" t="s">
        <v>25</v>
      </c>
      <c r="BS34" s="1153"/>
      <c r="BT34" s="1154"/>
      <c r="BU34" s="1154"/>
      <c r="BV34" s="1154"/>
      <c r="BW34" s="1154"/>
      <c r="BX34" s="1154"/>
      <c r="BY34" s="1154"/>
      <c r="BZ34" s="1154"/>
      <c r="CA34" s="1154"/>
      <c r="CB34" s="1154"/>
      <c r="CC34" s="1154"/>
      <c r="CD34" s="741" t="s">
        <v>26</v>
      </c>
      <c r="CE34" s="742"/>
      <c r="CF34" s="742"/>
      <c r="CG34" s="742"/>
      <c r="CH34" s="742"/>
      <c r="CI34" s="742"/>
      <c r="CJ34" s="742"/>
      <c r="CK34" s="743"/>
      <c r="CL34" s="742"/>
      <c r="CM34" s="744"/>
      <c r="CN34" s="744"/>
      <c r="CO34" s="742"/>
      <c r="CP34" s="742"/>
      <c r="CQ34" s="742"/>
      <c r="CR34" s="742"/>
      <c r="CS34" s="742"/>
      <c r="CT34" s="745" t="s">
        <v>27</v>
      </c>
      <c r="CU34" s="1092"/>
      <c r="CV34" s="1092"/>
      <c r="CW34" s="1092"/>
      <c r="CX34" s="1092"/>
      <c r="CY34" s="1092"/>
      <c r="CZ34" s="1092"/>
      <c r="DA34" s="1092"/>
      <c r="DB34" s="1092"/>
      <c r="DC34" s="1093"/>
      <c r="DD34" s="72"/>
      <c r="DE34" s="62"/>
      <c r="DF34" s="62"/>
    </row>
    <row r="35" spans="2:110" ht="42" customHeight="1" thickBot="1" x14ac:dyDescent="0.3">
      <c r="G35" s="799"/>
      <c r="H35" s="47"/>
      <c r="I35"/>
      <c r="J35" s="43"/>
      <c r="K35" s="43"/>
      <c r="L35" s="43"/>
      <c r="M35" s="43"/>
      <c r="N35"/>
      <c r="O35" s="794"/>
      <c r="BD35" s="446"/>
      <c r="BE35" s="446"/>
      <c r="BN35" s="767">
        <v>3</v>
      </c>
      <c r="BO35" s="1055" t="b">
        <f>AND(BQ35&gt;=10,$BA$149&gt;=10,$BB$149&gt;=10,$BA$185&gt;=10,$BB$185&gt;=10)</f>
        <v>1</v>
      </c>
      <c r="BP35" s="67" t="str">
        <f>IF(BO35=TRUE,"O K","OVERLOAD")</f>
        <v>O K</v>
      </c>
      <c r="BQ35" s="782">
        <f>+$F$15/(MAX(CD35,CS35))</f>
        <v>92.467983049902031</v>
      </c>
      <c r="BR35" s="739" t="s">
        <v>108</v>
      </c>
      <c r="BS35" s="1155"/>
      <c r="BT35" s="1156"/>
      <c r="BU35" s="1156"/>
      <c r="BV35" s="1156"/>
      <c r="BW35" s="1156"/>
      <c r="BX35" s="1156"/>
      <c r="BY35" s="1156"/>
      <c r="BZ35" s="1156"/>
      <c r="CA35" s="1156"/>
      <c r="CB35" s="1156"/>
      <c r="CC35" s="1156"/>
      <c r="CD35" s="1159">
        <f>+((D2-D3)/D2)*C7</f>
        <v>86.516432349158677</v>
      </c>
      <c r="CE35" s="1160"/>
      <c r="CF35" s="746"/>
      <c r="CG35" s="746"/>
      <c r="CH35" s="746"/>
      <c r="CI35" s="746"/>
      <c r="CJ35" s="746"/>
      <c r="CK35" s="747"/>
      <c r="CL35" s="746"/>
      <c r="CM35" s="748"/>
      <c r="CN35" s="748"/>
      <c r="CO35" s="749"/>
      <c r="CP35" s="749"/>
      <c r="CQ35" s="749"/>
      <c r="CR35" s="749"/>
      <c r="CS35" s="1157">
        <f>+(D3/D2)*C7</f>
        <v>35.58356765084131</v>
      </c>
      <c r="CT35" s="1158"/>
      <c r="CU35" s="1094"/>
      <c r="CV35" s="1094"/>
      <c r="CW35" s="1094"/>
      <c r="CX35" s="1094"/>
      <c r="CY35" s="1094"/>
      <c r="CZ35" s="1094"/>
      <c r="DA35" s="1094"/>
      <c r="DB35" s="1094"/>
      <c r="DC35" s="1095"/>
      <c r="DD35" s="72"/>
      <c r="DE35" s="62"/>
      <c r="DF35" s="62"/>
    </row>
    <row r="36" spans="2:110" ht="15.75" customHeight="1" thickBot="1" x14ac:dyDescent="0.3">
      <c r="G36" s="799"/>
      <c r="H36" s="47"/>
      <c r="I36" s="783">
        <v>61</v>
      </c>
      <c r="J36" s="1047" t="s">
        <v>200</v>
      </c>
      <c r="K36" s="1054"/>
      <c r="L36" s="1054"/>
      <c r="M36" s="1054"/>
      <c r="N36"/>
      <c r="O36" s="794"/>
      <c r="BD36" s="446"/>
      <c r="BE36" s="446"/>
      <c r="BP36" s="69"/>
      <c r="BQ36" s="11"/>
      <c r="BR36" s="76"/>
      <c r="BS36" s="76"/>
      <c r="BT36" s="76"/>
      <c r="BU36" s="76"/>
      <c r="BV36" s="76"/>
      <c r="BW36" s="76"/>
      <c r="BX36" s="76"/>
      <c r="BY36" s="76"/>
      <c r="BZ36" s="76"/>
      <c r="CA36" s="77"/>
      <c r="CB36" s="77"/>
      <c r="CC36" s="72"/>
      <c r="CD36" s="72"/>
      <c r="CE36" s="72"/>
      <c r="CF36" s="72"/>
      <c r="CG36" s="72"/>
      <c r="CH36" s="72"/>
      <c r="CI36" s="72"/>
      <c r="CJ36" s="72"/>
      <c r="CK36" s="72"/>
      <c r="CL36" s="72"/>
      <c r="CM36" s="76"/>
      <c r="CN36" s="72"/>
      <c r="CO36" s="72"/>
      <c r="CP36" s="26"/>
      <c r="CQ36" s="78"/>
      <c r="CR36" s="78"/>
      <c r="CS36" s="78"/>
      <c r="CT36" s="78"/>
      <c r="CU36" s="75"/>
      <c r="CV36" s="75"/>
      <c r="CW36" s="75"/>
      <c r="CX36" s="75"/>
      <c r="CY36" s="75"/>
      <c r="CZ36" s="75"/>
      <c r="DA36" s="75"/>
      <c r="DB36" s="75"/>
      <c r="DC36" s="75"/>
      <c r="DD36" s="75"/>
      <c r="DE36" s="62"/>
      <c r="DF36" s="62"/>
    </row>
    <row r="37" spans="2:110" ht="25.5" hidden="1" customHeight="1" x14ac:dyDescent="0.2">
      <c r="B37" s="437"/>
      <c r="C37" s="437"/>
      <c r="G37" s="799"/>
      <c r="H37" s="47"/>
      <c r="I37"/>
      <c r="J37" s="761" t="s">
        <v>162</v>
      </c>
      <c r="K37" s="761" t="s">
        <v>170</v>
      </c>
      <c r="L37" s="761"/>
      <c r="M37" s="924"/>
      <c r="N37"/>
      <c r="O37" s="794"/>
      <c r="BE37" s="477"/>
      <c r="BG37" s="119"/>
      <c r="BH37" s="119"/>
      <c r="BI37" s="119"/>
      <c r="BJ37" s="119"/>
      <c r="BP37" s="69"/>
    </row>
    <row r="38" spans="2:110" ht="20" hidden="1" x14ac:dyDescent="0.2">
      <c r="B38" s="437"/>
      <c r="C38" s="437"/>
      <c r="G38" s="799"/>
      <c r="H38" s="47"/>
      <c r="I38"/>
      <c r="J38" s="763">
        <f>+H18/H8*BS27</f>
        <v>8.2325835173077735</v>
      </c>
      <c r="K38" s="763">
        <f>((H8-H18)/H8)*BS27</f>
        <v>113.86741648269222</v>
      </c>
      <c r="L38" s="763"/>
      <c r="M38" s="761" t="s">
        <v>168</v>
      </c>
      <c r="N38"/>
      <c r="O38" s="794"/>
      <c r="BE38" s="477"/>
      <c r="BG38" s="119"/>
      <c r="BH38" s="119"/>
      <c r="BI38" s="119"/>
      <c r="BJ38" s="119"/>
      <c r="BP38" s="69"/>
    </row>
    <row r="39" spans="2:110" ht="23.25" hidden="1" customHeight="1" x14ac:dyDescent="0.25">
      <c r="B39" s="437"/>
      <c r="C39" s="437"/>
      <c r="G39" s="799"/>
      <c r="H39" s="47"/>
      <c r="I39"/>
      <c r="J39" s="764">
        <f>ABS($H$1/J38)</f>
        <v>2186.4339380411625</v>
      </c>
      <c r="K39" s="764">
        <f>ABS($H$1/K38)</f>
        <v>158.07858433967357</v>
      </c>
      <c r="L39" s="764"/>
      <c r="M39" s="766" t="s">
        <v>167</v>
      </c>
      <c r="N39"/>
      <c r="O39" s="794"/>
      <c r="BE39" s="477"/>
      <c r="BG39" s="119"/>
      <c r="BH39" s="119"/>
      <c r="BI39" s="119"/>
      <c r="BJ39" s="119"/>
      <c r="BP39" s="69"/>
      <c r="BQ39" s="10"/>
      <c r="BR39" s="160"/>
      <c r="BS39" s="161"/>
      <c r="BT39" s="161"/>
      <c r="BU39" s="161"/>
      <c r="BV39" s="161"/>
      <c r="BW39" s="161"/>
      <c r="BX39" s="161"/>
      <c r="BY39" s="161"/>
      <c r="BZ39" s="161"/>
      <c r="CA39" s="162"/>
      <c r="CB39" s="162"/>
      <c r="CC39" s="163"/>
      <c r="CD39" s="163"/>
      <c r="CE39" s="163"/>
      <c r="CF39" s="163"/>
      <c r="CG39" s="163"/>
      <c r="CH39" s="163"/>
      <c r="CI39" s="163"/>
      <c r="CJ39" s="163"/>
      <c r="CK39" s="26"/>
      <c r="CL39" s="72"/>
      <c r="CM39" s="164"/>
      <c r="CN39" s="164"/>
      <c r="CO39" s="72"/>
      <c r="CP39" s="72"/>
      <c r="CQ39" s="72"/>
      <c r="CR39" s="72"/>
      <c r="CS39" s="72"/>
      <c r="CT39" s="72"/>
      <c r="CU39" s="72"/>
      <c r="CV39" s="72"/>
      <c r="CW39" s="72"/>
      <c r="CX39" s="72"/>
      <c r="CY39" s="161"/>
      <c r="CZ39" s="161"/>
      <c r="DA39" s="161"/>
      <c r="DB39" s="161"/>
      <c r="DC39" s="161"/>
      <c r="DD39" s="161"/>
      <c r="DE39" s="161"/>
      <c r="DF39" s="161"/>
    </row>
    <row r="40" spans="2:110" ht="24" hidden="1" thickBot="1" x14ac:dyDescent="0.3">
      <c r="B40" s="437"/>
      <c r="C40" s="437"/>
      <c r="G40" s="799"/>
      <c r="H40" s="47"/>
      <c r="I40"/>
      <c r="J40" s="1045">
        <f>ABS($F$15/BS27)*2</f>
        <v>131.04013104013106</v>
      </c>
      <c r="K40" s="1045"/>
      <c r="L40" s="1045"/>
      <c r="M40" s="1046" t="s">
        <v>308</v>
      </c>
      <c r="N40" s="1052" t="s">
        <v>309</v>
      </c>
      <c r="O40" s="794"/>
      <c r="BE40" s="477"/>
      <c r="BG40" s="119"/>
      <c r="BH40" s="119"/>
      <c r="BI40" s="119"/>
      <c r="BJ40" s="119"/>
      <c r="BP40" s="69"/>
      <c r="BQ40" s="10"/>
      <c r="BR40" s="160"/>
      <c r="BS40" s="161"/>
      <c r="BT40" s="161"/>
      <c r="BU40" s="161"/>
      <c r="BV40" s="161"/>
      <c r="BW40" s="161"/>
      <c r="BX40" s="161"/>
      <c r="BY40" s="161"/>
      <c r="BZ40" s="161"/>
      <c r="CA40" s="162"/>
      <c r="CB40" s="162"/>
      <c r="CC40" s="163"/>
      <c r="CD40" s="163"/>
      <c r="CE40" s="163"/>
      <c r="CF40" s="163"/>
      <c r="CG40" s="163"/>
      <c r="CH40" s="163"/>
      <c r="CI40" s="163"/>
      <c r="CJ40" s="163"/>
      <c r="CK40" s="26"/>
      <c r="CL40" s="72"/>
      <c r="CM40" s="164"/>
      <c r="CN40" s="164"/>
      <c r="CO40" s="72"/>
      <c r="CP40" s="72"/>
      <c r="CQ40" s="72"/>
      <c r="CR40" s="72"/>
      <c r="CS40" s="72"/>
      <c r="CT40" s="72"/>
      <c r="CU40" s="72"/>
      <c r="CV40" s="72"/>
      <c r="CW40" s="72"/>
      <c r="CX40" s="72"/>
      <c r="CY40" s="161"/>
      <c r="CZ40" s="161"/>
      <c r="DA40" s="161"/>
      <c r="DB40" s="161"/>
      <c r="DC40" s="161"/>
      <c r="DD40" s="161"/>
      <c r="DE40" s="161"/>
      <c r="DF40" s="161"/>
    </row>
    <row r="41" spans="2:110" ht="24" hidden="1" thickBot="1" x14ac:dyDescent="0.3">
      <c r="B41" s="437"/>
      <c r="C41" s="437"/>
      <c r="G41" s="797"/>
      <c r="H41"/>
      <c r="I41"/>
      <c r="J41" s="43"/>
      <c r="K41" s="43"/>
      <c r="L41" s="43"/>
      <c r="M41" s="43"/>
      <c r="N41"/>
      <c r="O41" s="794"/>
      <c r="BE41" s="477"/>
      <c r="BG41" s="119"/>
      <c r="BH41" s="119"/>
      <c r="BI41" s="119"/>
      <c r="BJ41" s="119"/>
      <c r="BP41" s="69"/>
      <c r="BQ41" s="10"/>
      <c r="BR41" s="160"/>
      <c r="BS41" s="161"/>
      <c r="BT41" s="161"/>
      <c r="BU41" s="161"/>
      <c r="BV41" s="161"/>
      <c r="BW41" s="161"/>
      <c r="BX41" s="161"/>
      <c r="BY41" s="161"/>
      <c r="BZ41" s="161"/>
      <c r="CA41" s="162"/>
      <c r="CB41" s="162"/>
      <c r="CC41" s="165">
        <v>16</v>
      </c>
      <c r="CD41" s="163"/>
      <c r="CE41" s="163"/>
      <c r="CF41" s="163"/>
      <c r="CG41" s="163"/>
      <c r="CH41" s="163"/>
      <c r="CI41" s="163"/>
      <c r="CJ41" s="163"/>
      <c r="CK41" s="26"/>
      <c r="CL41" s="72"/>
      <c r="CM41" s="164"/>
      <c r="CN41" s="164"/>
      <c r="CO41" s="72"/>
      <c r="CP41" s="72"/>
      <c r="CQ41" s="72"/>
      <c r="CR41" s="100" t="b">
        <f>IF(CS59=27,15)</f>
        <v>0</v>
      </c>
      <c r="CS41" s="166"/>
      <c r="CT41" s="86" t="b">
        <f>IF(CS59=27,17)</f>
        <v>0</v>
      </c>
      <c r="CU41" s="72"/>
      <c r="CV41" s="72"/>
      <c r="CW41" s="72"/>
      <c r="CX41" s="72"/>
      <c r="CY41" s="161"/>
      <c r="CZ41" s="161"/>
      <c r="DA41" s="161"/>
      <c r="DB41" s="161"/>
      <c r="DC41" s="161"/>
      <c r="DD41" s="161"/>
      <c r="DE41" s="161"/>
      <c r="DF41" s="161"/>
    </row>
    <row r="42" spans="2:110" ht="24" hidden="1" thickBot="1" x14ac:dyDescent="0.3">
      <c r="B42" s="437"/>
      <c r="C42" s="437"/>
      <c r="G42" s="797"/>
      <c r="H42" s="841" t="s">
        <v>207</v>
      </c>
      <c r="I42" s="783">
        <v>62</v>
      </c>
      <c r="J42" s="1047" t="s">
        <v>201</v>
      </c>
      <c r="K42" s="1054"/>
      <c r="L42" s="1054"/>
      <c r="M42" s="1054"/>
      <c r="N42"/>
      <c r="O42" s="794"/>
      <c r="BE42" s="477"/>
      <c r="BG42" s="119"/>
      <c r="BH42" s="119"/>
      <c r="BI42" s="119"/>
      <c r="BJ42" s="119"/>
      <c r="BP42" s="69"/>
      <c r="BQ42" s="10"/>
      <c r="BR42" s="160"/>
      <c r="BS42" s="161"/>
      <c r="BT42" s="161"/>
      <c r="BU42" s="161"/>
      <c r="BV42" s="161"/>
      <c r="BW42" s="161"/>
      <c r="BX42" s="161"/>
      <c r="BY42" s="161"/>
      <c r="BZ42" s="161"/>
      <c r="CA42" s="162"/>
      <c r="CB42" s="162"/>
      <c r="CC42" s="165">
        <v>15</v>
      </c>
      <c r="CD42" s="163"/>
      <c r="CE42" s="163"/>
      <c r="CF42" s="163"/>
      <c r="CG42" s="163"/>
      <c r="CH42" s="163"/>
      <c r="CI42" s="163"/>
      <c r="CJ42" s="163"/>
      <c r="CK42" s="26"/>
      <c r="CL42" s="72"/>
      <c r="CM42" s="164"/>
      <c r="CN42" s="164"/>
      <c r="CO42" s="72"/>
      <c r="CP42" s="100" t="b">
        <f>IF(CR59=26,13)</f>
        <v>0</v>
      </c>
      <c r="CQ42" s="166"/>
      <c r="CR42" s="166"/>
      <c r="CS42" s="166"/>
      <c r="CT42" s="86" t="b">
        <f>IF(CR59=26,17)</f>
        <v>0</v>
      </c>
      <c r="CU42" s="72"/>
      <c r="CV42" s="72"/>
      <c r="CW42" s="72"/>
      <c r="CX42" s="72"/>
      <c r="CY42" s="161"/>
      <c r="CZ42" s="161"/>
      <c r="DA42" s="161"/>
      <c r="DB42" s="161"/>
      <c r="DC42" s="161"/>
      <c r="DD42" s="161"/>
      <c r="DE42" s="161"/>
      <c r="DF42" s="161"/>
    </row>
    <row r="43" spans="2:110" ht="24" hidden="1" thickBot="1" x14ac:dyDescent="0.3">
      <c r="B43" s="437"/>
      <c r="C43" s="437"/>
      <c r="G43" s="797"/>
      <c r="H43" s="800" t="s">
        <v>195</v>
      </c>
      <c r="I43"/>
      <c r="J43" s="761" t="s">
        <v>162</v>
      </c>
      <c r="K43" s="761" t="s">
        <v>170</v>
      </c>
      <c r="L43" s="771" t="s">
        <v>187</v>
      </c>
      <c r="M43" s="924"/>
      <c r="N43"/>
      <c r="O43" s="794"/>
      <c r="BE43" s="477"/>
      <c r="BG43" s="119"/>
      <c r="BH43" s="119"/>
      <c r="BI43" s="119"/>
      <c r="BJ43" s="119"/>
      <c r="BP43" s="69"/>
      <c r="BQ43" s="10"/>
      <c r="BR43" s="160"/>
      <c r="BS43" s="161"/>
      <c r="BT43" s="161"/>
      <c r="BU43" s="161"/>
      <c r="BV43" s="161"/>
      <c r="BW43" s="161"/>
      <c r="BX43" s="161"/>
      <c r="BY43" s="161"/>
      <c r="BZ43" s="161"/>
      <c r="CA43" s="162"/>
      <c r="CB43" s="162"/>
      <c r="CC43" s="165">
        <v>14</v>
      </c>
      <c r="CD43" s="163"/>
      <c r="CE43" s="163"/>
      <c r="CF43" s="163"/>
      <c r="CG43" s="163"/>
      <c r="CH43" s="163"/>
      <c r="CI43" s="163"/>
      <c r="CJ43" s="163"/>
      <c r="CK43" s="26"/>
      <c r="CL43" s="72"/>
      <c r="CM43" s="164"/>
      <c r="CN43" s="100" t="b">
        <f>IF(CQ59=25,11)</f>
        <v>0</v>
      </c>
      <c r="CO43" s="166"/>
      <c r="CP43" s="167"/>
      <c r="CQ43" s="167"/>
      <c r="CR43" s="167"/>
      <c r="CS43" s="167"/>
      <c r="CT43" s="107" t="b">
        <f>IF(CQ59=25,17)</f>
        <v>0</v>
      </c>
      <c r="CU43" s="72"/>
      <c r="CV43" s="72"/>
      <c r="CW43" s="72"/>
      <c r="CX43" s="72"/>
      <c r="CY43" s="161"/>
      <c r="CZ43" s="161"/>
      <c r="DA43" s="161"/>
      <c r="DB43" s="161"/>
      <c r="DC43" s="161"/>
      <c r="DD43" s="161"/>
      <c r="DE43" s="161"/>
      <c r="DF43" s="161"/>
    </row>
    <row r="44" spans="2:110" ht="24" hidden="1" thickBot="1" x14ac:dyDescent="0.3">
      <c r="B44" s="437"/>
      <c r="C44" s="437"/>
      <c r="G44" s="801" t="s">
        <v>190</v>
      </c>
      <c r="H44" s="851">
        <f>SUM(BS101:CC101)</f>
        <v>8</v>
      </c>
      <c r="I44"/>
      <c r="J44" s="763">
        <f>+H45/H8*BS27/2</f>
        <v>109.89</v>
      </c>
      <c r="K44" s="763">
        <f>((H8-H45)/H8)*BS27/2</f>
        <v>-48.84</v>
      </c>
      <c r="L44" s="763">
        <f>+BS27/2</f>
        <v>61.05</v>
      </c>
      <c r="M44" s="761" t="s">
        <v>168</v>
      </c>
      <c r="N44"/>
      <c r="O44" s="794"/>
      <c r="BE44" s="477"/>
      <c r="BG44" s="119"/>
      <c r="BH44" s="119"/>
      <c r="BI44" s="119"/>
      <c r="BJ44" s="119"/>
      <c r="BP44" s="69"/>
      <c r="BQ44" s="863"/>
      <c r="BR44" s="160"/>
      <c r="BS44" s="161"/>
      <c r="BT44" s="161"/>
      <c r="BU44" s="161"/>
      <c r="BV44" s="161"/>
      <c r="BW44" s="161"/>
      <c r="BX44" s="161"/>
      <c r="BY44" s="161"/>
      <c r="BZ44" s="161"/>
      <c r="CC44" s="165">
        <v>13</v>
      </c>
      <c r="CD44" s="161"/>
      <c r="CE44" s="160"/>
      <c r="CF44" s="160"/>
      <c r="CG44" s="160"/>
      <c r="CH44" s="160"/>
      <c r="CI44" s="160"/>
      <c r="CJ44" s="160"/>
      <c r="CK44" s="160"/>
      <c r="CL44" s="100" t="b">
        <f>IF(CP59=24,9)</f>
        <v>0</v>
      </c>
      <c r="CM44" s="168"/>
      <c r="CN44" s="169"/>
      <c r="CO44" s="105"/>
      <c r="CP44" s="169"/>
      <c r="CQ44" s="105"/>
      <c r="CR44" s="105"/>
      <c r="CS44" s="104"/>
      <c r="CT44" s="107" t="b">
        <f>IF(CP59=24,17)</f>
        <v>0</v>
      </c>
      <c r="CU44" s="62"/>
      <c r="CV44" s="62"/>
      <c r="CW44" s="62"/>
      <c r="CX44" s="62"/>
      <c r="CY44" s="62"/>
      <c r="CZ44" s="62"/>
      <c r="DA44" s="62"/>
      <c r="DB44" s="62"/>
      <c r="DC44" s="62"/>
      <c r="DD44" s="62"/>
      <c r="DE44" s="62"/>
      <c r="DF44" s="62"/>
    </row>
    <row r="45" spans="2:110" ht="21" hidden="1" thickBot="1" x14ac:dyDescent="0.25">
      <c r="B45" s="437"/>
      <c r="C45" s="437"/>
      <c r="G45" s="793" t="s">
        <v>188</v>
      </c>
      <c r="H45" s="850">
        <f>$H$5-((H44-1)*$E$2)</f>
        <v>387</v>
      </c>
      <c r="I45"/>
      <c r="J45" s="764">
        <f>ABS($H$1/J44)</f>
        <v>163.8001638001638</v>
      </c>
      <c r="K45" s="764">
        <f>ABS($H$1/K44)</f>
        <v>368.55036855036855</v>
      </c>
      <c r="L45" s="764">
        <f>ABS($H$1/L44)</f>
        <v>294.84029484029486</v>
      </c>
      <c r="M45" s="766" t="s">
        <v>167</v>
      </c>
      <c r="N45"/>
      <c r="O45" s="794"/>
      <c r="BE45" s="477"/>
      <c r="BG45" s="119"/>
      <c r="BH45" s="119"/>
      <c r="BI45" s="119"/>
      <c r="BJ45" s="119"/>
      <c r="BP45" s="69"/>
      <c r="BQ45" s="863"/>
      <c r="BR45" s="160"/>
      <c r="BS45" s="160"/>
      <c r="BT45" s="161"/>
      <c r="BU45" s="160"/>
      <c r="BV45" s="160"/>
      <c r="BW45" s="160"/>
      <c r="CC45" s="165">
        <v>12</v>
      </c>
      <c r="CD45" s="161"/>
      <c r="CE45" s="160"/>
      <c r="CF45" s="160"/>
      <c r="CG45" s="160"/>
      <c r="CH45" s="160"/>
      <c r="CI45" s="160"/>
      <c r="CJ45" s="100" t="b">
        <f>IF(CO59=23,7)</f>
        <v>0</v>
      </c>
      <c r="CK45" s="168"/>
      <c r="CL45" s="168"/>
      <c r="CM45" s="101"/>
      <c r="CN45" s="168"/>
      <c r="CO45" s="168"/>
      <c r="CP45" s="168"/>
      <c r="CQ45" s="101"/>
      <c r="CR45" s="101"/>
      <c r="CS45" s="94"/>
      <c r="CT45" s="86" t="b">
        <f>IF(CO59=23,17)</f>
        <v>0</v>
      </c>
      <c r="CU45" s="62"/>
      <c r="CV45" s="62"/>
      <c r="CW45" s="62"/>
      <c r="CX45" s="62"/>
      <c r="CY45" s="62"/>
      <c r="CZ45" s="62"/>
      <c r="DA45" s="62"/>
      <c r="DB45" s="62"/>
      <c r="DC45" s="62"/>
      <c r="DD45" s="62"/>
      <c r="DE45" s="62"/>
      <c r="DF45" s="62"/>
    </row>
    <row r="46" spans="2:110" ht="21" hidden="1" thickBot="1" x14ac:dyDescent="0.25">
      <c r="B46" s="437"/>
      <c r="C46" s="437"/>
      <c r="G46" s="799"/>
      <c r="H46" s="47"/>
      <c r="I46"/>
      <c r="J46" s="1045"/>
      <c r="K46" s="1045"/>
      <c r="L46" s="1045">
        <f>ABS($F$15/BS27)*2</f>
        <v>131.04013104013106</v>
      </c>
      <c r="M46" s="1046" t="s">
        <v>308</v>
      </c>
      <c r="N46" s="1052" t="s">
        <v>309</v>
      </c>
      <c r="O46" s="794"/>
      <c r="BE46" s="477"/>
      <c r="BG46" s="119"/>
      <c r="BH46" s="119"/>
      <c r="BI46" s="119"/>
      <c r="BJ46" s="119"/>
      <c r="BP46" s="69"/>
      <c r="BQ46" s="863"/>
      <c r="BR46" s="160"/>
      <c r="BS46" s="160"/>
      <c r="BT46" s="161"/>
      <c r="BU46" s="160"/>
      <c r="BV46" s="160"/>
      <c r="BW46" s="160"/>
      <c r="CC46" s="165">
        <v>11</v>
      </c>
      <c r="CD46" s="161"/>
      <c r="CE46" s="160"/>
      <c r="CF46" s="160"/>
      <c r="CG46" s="160"/>
      <c r="CH46" s="100" t="b">
        <f>IF(CN59=22,5)</f>
        <v>0</v>
      </c>
      <c r="CI46" s="168"/>
      <c r="CJ46" s="168"/>
      <c r="CK46" s="101"/>
      <c r="CL46" s="168"/>
      <c r="CM46" s="101"/>
      <c r="CN46" s="168"/>
      <c r="CO46" s="101"/>
      <c r="CP46" s="168"/>
      <c r="CQ46" s="101"/>
      <c r="CR46" s="101"/>
      <c r="CS46" s="94"/>
      <c r="CT46" s="86" t="b">
        <f>IF(CN59=22,17)</f>
        <v>0</v>
      </c>
      <c r="CU46" s="62"/>
      <c r="CV46" s="62"/>
      <c r="CW46" s="62"/>
      <c r="CX46" s="62"/>
      <c r="CY46" s="62"/>
      <c r="CZ46" s="62"/>
      <c r="DA46" s="62"/>
      <c r="DB46" s="62"/>
      <c r="DC46" s="62"/>
      <c r="DD46" s="62"/>
      <c r="DE46" s="62"/>
      <c r="DF46" s="62"/>
    </row>
    <row r="47" spans="2:110" ht="21" hidden="1" thickBot="1" x14ac:dyDescent="0.25">
      <c r="B47" s="437"/>
      <c r="C47" s="437"/>
      <c r="G47" s="797"/>
      <c r="H47" s="842" t="s">
        <v>208</v>
      </c>
      <c r="I47"/>
      <c r="J47" s="43"/>
      <c r="K47" s="43"/>
      <c r="L47" s="43"/>
      <c r="M47" s="43"/>
      <c r="N47"/>
      <c r="O47" s="794"/>
      <c r="BE47" s="477"/>
      <c r="BG47" s="119"/>
      <c r="BH47" s="119"/>
      <c r="BI47" s="119"/>
      <c r="BJ47" s="119"/>
      <c r="BP47" s="69"/>
      <c r="BQ47" s="863"/>
      <c r="BR47" s="160"/>
      <c r="BS47" s="160"/>
      <c r="BT47" s="161"/>
      <c r="BU47" s="160"/>
      <c r="BV47" s="160"/>
      <c r="BW47" s="160"/>
      <c r="CC47" s="165">
        <v>10</v>
      </c>
      <c r="CD47" s="161"/>
      <c r="CE47" s="160"/>
      <c r="CF47" s="100" t="b">
        <f>IF(CM59=21,3)</f>
        <v>0</v>
      </c>
      <c r="CG47" s="168"/>
      <c r="CH47" s="168"/>
      <c r="CI47" s="101"/>
      <c r="CJ47" s="101"/>
      <c r="CK47" s="101"/>
      <c r="CL47" s="168"/>
      <c r="CM47" s="168"/>
      <c r="CN47" s="168"/>
      <c r="CO47" s="101"/>
      <c r="CP47" s="168"/>
      <c r="CQ47" s="101"/>
      <c r="CR47" s="101"/>
      <c r="CS47" s="94"/>
      <c r="CT47" s="86" t="b">
        <f>IF(CM59=21,17)</f>
        <v>0</v>
      </c>
      <c r="CU47" s="62"/>
      <c r="CV47" s="62"/>
      <c r="CW47" s="62"/>
      <c r="CX47" s="62"/>
      <c r="CY47" s="62"/>
      <c r="CZ47" s="62"/>
      <c r="DA47" s="62"/>
      <c r="DB47" s="62"/>
      <c r="DC47" s="62"/>
      <c r="DD47" s="62"/>
      <c r="DE47" s="62"/>
      <c r="DF47" s="62"/>
    </row>
    <row r="48" spans="2:110" ht="21" hidden="1" thickBot="1" x14ac:dyDescent="0.25">
      <c r="B48" s="437"/>
      <c r="C48" s="437"/>
      <c r="G48" s="803"/>
      <c r="H48" s="804" t="s">
        <v>195</v>
      </c>
      <c r="I48" s="783">
        <v>63</v>
      </c>
      <c r="J48" s="1047" t="s">
        <v>202</v>
      </c>
      <c r="K48" s="1054"/>
      <c r="L48" s="1054"/>
      <c r="M48" s="1054"/>
      <c r="N48"/>
      <c r="O48" s="794"/>
      <c r="BE48" s="477"/>
      <c r="BG48" s="119"/>
      <c r="BH48" s="119"/>
      <c r="BI48" s="119"/>
      <c r="BJ48" s="119"/>
      <c r="BP48" s="69"/>
      <c r="BQ48" s="863"/>
      <c r="BR48" s="160"/>
      <c r="BS48" s="160"/>
      <c r="BT48" s="161"/>
      <c r="BU48" s="160"/>
      <c r="BV48" s="160"/>
      <c r="BW48" s="160"/>
      <c r="CC48" s="165">
        <v>9</v>
      </c>
      <c r="CD48" s="100" t="b">
        <f>IF(CL59=20,1)</f>
        <v>0</v>
      </c>
      <c r="CE48" s="168"/>
      <c r="CF48" s="168"/>
      <c r="CG48" s="101"/>
      <c r="CH48" s="168"/>
      <c r="CI48" s="168"/>
      <c r="CJ48" s="168"/>
      <c r="CK48" s="168"/>
      <c r="CL48" s="168"/>
      <c r="CM48" s="168"/>
      <c r="CN48" s="168"/>
      <c r="CO48" s="168"/>
      <c r="CP48" s="168"/>
      <c r="CQ48" s="101"/>
      <c r="CR48" s="101"/>
      <c r="CS48" s="94"/>
      <c r="CT48" s="86" t="b">
        <f>IF(CL59=20,17)</f>
        <v>0</v>
      </c>
      <c r="CU48" s="62"/>
      <c r="CV48" s="62"/>
      <c r="CW48" s="62"/>
      <c r="CX48" s="62"/>
      <c r="CY48" s="62"/>
      <c r="CZ48" s="62"/>
      <c r="DA48" s="62"/>
      <c r="DB48" s="62"/>
      <c r="DC48" s="62"/>
      <c r="DD48" s="62"/>
      <c r="DE48" s="62"/>
      <c r="DF48" s="62"/>
    </row>
    <row r="49" spans="2:110" ht="18" hidden="1" customHeight="1" thickBot="1" x14ac:dyDescent="0.3">
      <c r="B49" s="437"/>
      <c r="C49" s="437"/>
      <c r="G49" s="801" t="s">
        <v>190</v>
      </c>
      <c r="H49" s="852">
        <f>SUM(CS101:DC101)</f>
        <v>0</v>
      </c>
      <c r="I49"/>
      <c r="J49" s="771" t="s">
        <v>189</v>
      </c>
      <c r="K49" s="761" t="s">
        <v>160</v>
      </c>
      <c r="L49" s="761" t="s">
        <v>161</v>
      </c>
      <c r="M49" s="924"/>
      <c r="N49"/>
      <c r="O49" s="794"/>
      <c r="BE49" s="477"/>
      <c r="BG49" s="119"/>
      <c r="BH49" s="119"/>
      <c r="BI49" s="119"/>
      <c r="BJ49" s="119"/>
      <c r="BP49" s="69"/>
      <c r="BQ49" s="863"/>
      <c r="BR49" s="160"/>
      <c r="BS49" s="160"/>
      <c r="BT49" s="161"/>
      <c r="BU49" s="160"/>
      <c r="BV49" s="160"/>
      <c r="BW49" s="160"/>
      <c r="CC49" s="165">
        <v>8</v>
      </c>
      <c r="CD49" s="103" t="b">
        <f>IF(CK59=19,1)</f>
        <v>0</v>
      </c>
      <c r="CE49" s="105"/>
      <c r="CF49" s="169"/>
      <c r="CG49" s="169"/>
      <c r="CH49" s="169"/>
      <c r="CI49" s="169"/>
      <c r="CJ49" s="169"/>
      <c r="CK49" s="169"/>
      <c r="CL49" s="169"/>
      <c r="CM49" s="169"/>
      <c r="CN49" s="169"/>
      <c r="CO49" s="169"/>
      <c r="CP49" s="169"/>
      <c r="CQ49" s="105"/>
      <c r="CR49" s="107" t="b">
        <f>IF(CK59=19,15)</f>
        <v>0</v>
      </c>
      <c r="CS49" s="62"/>
      <c r="CT49" s="62"/>
      <c r="CU49" s="62"/>
      <c r="CV49" s="62"/>
      <c r="CW49" s="62"/>
      <c r="CX49" s="62"/>
      <c r="CY49" s="62"/>
      <c r="CZ49" s="62"/>
      <c r="DA49" s="62"/>
      <c r="DB49" s="62"/>
      <c r="DC49" s="62"/>
      <c r="DD49" s="62"/>
      <c r="DE49" s="62"/>
      <c r="DF49" s="62"/>
    </row>
    <row r="50" spans="2:110" ht="24.75" hidden="1" customHeight="1" thickBot="1" x14ac:dyDescent="0.25">
      <c r="B50" s="437"/>
      <c r="C50" s="437"/>
      <c r="G50" s="793" t="s">
        <v>188</v>
      </c>
      <c r="H50" s="850">
        <f>($E$2*(H49-1))-$H$4</f>
        <v>-903</v>
      </c>
      <c r="I50"/>
      <c r="J50" s="763">
        <f>+BS27/2</f>
        <v>61.05</v>
      </c>
      <c r="K50" s="763">
        <f>((H8-H50)/H8)*BS27/2</f>
        <v>317.45999999999998</v>
      </c>
      <c r="L50" s="763">
        <f>+H50/H8*BS27/2</f>
        <v>-256.41000000000003</v>
      </c>
      <c r="M50" s="761" t="s">
        <v>168</v>
      </c>
      <c r="N50"/>
      <c r="O50" s="794"/>
      <c r="BE50" s="477"/>
      <c r="BG50" s="119"/>
      <c r="BH50" s="119"/>
      <c r="BI50" s="119"/>
      <c r="BJ50" s="119"/>
      <c r="BP50" s="69"/>
      <c r="BQ50" s="863"/>
      <c r="BR50" s="160"/>
      <c r="BS50" s="160"/>
      <c r="BT50" s="161"/>
      <c r="BU50" s="160"/>
      <c r="BV50" s="160"/>
      <c r="BW50" s="160"/>
      <c r="CC50" s="165">
        <v>7</v>
      </c>
      <c r="CD50" s="103" t="b">
        <f>IF(CJ59=18,1)</f>
        <v>0</v>
      </c>
      <c r="CE50" s="169"/>
      <c r="CF50" s="169"/>
      <c r="CG50" s="169"/>
      <c r="CH50" s="169"/>
      <c r="CI50" s="169"/>
      <c r="CJ50" s="169"/>
      <c r="CK50" s="169"/>
      <c r="CL50" s="169"/>
      <c r="CM50" s="169"/>
      <c r="CN50" s="169"/>
      <c r="CO50" s="169"/>
      <c r="CP50" s="107" t="b">
        <f>IF(CJ59=18,13)</f>
        <v>0</v>
      </c>
      <c r="CQ50" s="161"/>
      <c r="CS50" s="62"/>
      <c r="CT50" s="62"/>
      <c r="CU50" s="62"/>
      <c r="CV50" s="62"/>
      <c r="CW50" s="62"/>
      <c r="CX50" s="62"/>
      <c r="CY50" s="62"/>
      <c r="CZ50" s="62"/>
      <c r="DA50" s="62"/>
      <c r="DB50" s="62"/>
      <c r="DC50" s="62"/>
      <c r="DD50" s="62"/>
      <c r="DE50" s="62"/>
      <c r="DF50" s="62"/>
    </row>
    <row r="51" spans="2:110" ht="21.75" hidden="1" customHeight="1" thickBot="1" x14ac:dyDescent="0.25">
      <c r="B51" s="437"/>
      <c r="C51" s="437"/>
      <c r="G51" s="797"/>
      <c r="H51"/>
      <c r="I51"/>
      <c r="J51" s="764">
        <f>ABS($H$1/J50)</f>
        <v>294.84029484029486</v>
      </c>
      <c r="K51" s="764">
        <f>ABS($H$1/K50)</f>
        <v>56.700056700056706</v>
      </c>
      <c r="L51" s="764">
        <f>ABS($H$1/L50)</f>
        <v>70.200070200070186</v>
      </c>
      <c r="M51" s="766" t="s">
        <v>167</v>
      </c>
      <c r="N51" s="58"/>
      <c r="O51" s="809"/>
      <c r="BE51" s="477"/>
      <c r="BG51" s="119"/>
      <c r="BH51" s="119"/>
      <c r="BI51" s="119"/>
      <c r="BJ51" s="119"/>
      <c r="BP51" s="69"/>
      <c r="BQ51" s="863"/>
      <c r="BR51" s="160"/>
      <c r="BS51" s="160"/>
      <c r="BT51" s="161"/>
      <c r="BU51" s="160"/>
      <c r="BV51" s="160"/>
      <c r="BW51" s="160"/>
      <c r="CC51" s="165">
        <v>6</v>
      </c>
      <c r="CD51" s="103">
        <f>IF(CI59=17,1)</f>
        <v>1</v>
      </c>
      <c r="CE51" s="169"/>
      <c r="CF51" s="169"/>
      <c r="CG51" s="169"/>
      <c r="CH51" s="169"/>
      <c r="CI51" s="169"/>
      <c r="CJ51" s="169"/>
      <c r="CK51" s="169"/>
      <c r="CL51" s="169"/>
      <c r="CM51" s="169"/>
      <c r="CN51" s="107">
        <f>IF(CI59=17,11)</f>
        <v>11</v>
      </c>
      <c r="CO51" s="160"/>
      <c r="CP51" s="160"/>
      <c r="CQ51" s="161"/>
      <c r="CS51" s="62"/>
      <c r="CT51" s="62"/>
      <c r="CU51" s="62"/>
      <c r="CV51" s="62"/>
      <c r="CW51" s="62"/>
      <c r="CX51" s="62"/>
      <c r="CY51" s="62"/>
      <c r="CZ51" s="62"/>
      <c r="DA51" s="62"/>
      <c r="DB51" s="62"/>
      <c r="DC51" s="62"/>
      <c r="DD51" s="62"/>
      <c r="DE51" s="62"/>
      <c r="DF51" s="62"/>
    </row>
    <row r="52" spans="2:110" ht="21.75" hidden="1" customHeight="1" thickBot="1" x14ac:dyDescent="0.25">
      <c r="B52" s="437"/>
      <c r="C52" s="437"/>
      <c r="G52" s="797"/>
      <c r="H52"/>
      <c r="I52"/>
      <c r="J52" s="1045">
        <f>ABS($F$15/BS27)*2</f>
        <v>131.04013104013106</v>
      </c>
      <c r="K52" s="1045"/>
      <c r="L52" s="1045"/>
      <c r="M52" s="1046" t="s">
        <v>308</v>
      </c>
      <c r="N52" s="1052" t="s">
        <v>309</v>
      </c>
      <c r="O52" s="794"/>
      <c r="BE52" s="477"/>
      <c r="BG52" s="119"/>
      <c r="BH52" s="119"/>
      <c r="BI52" s="119"/>
      <c r="BJ52" s="119"/>
      <c r="BP52" s="69"/>
      <c r="BQ52" s="863"/>
      <c r="BR52" s="160"/>
      <c r="BS52" s="160"/>
      <c r="BT52" s="161"/>
      <c r="BU52" s="160"/>
      <c r="BV52" s="160"/>
      <c r="BW52" s="160"/>
      <c r="CC52" s="165">
        <v>5</v>
      </c>
      <c r="CD52" s="100" t="b">
        <f>IF(CH59=16,1)</f>
        <v>0</v>
      </c>
      <c r="CE52" s="168"/>
      <c r="CF52" s="168"/>
      <c r="CG52" s="101"/>
      <c r="CH52" s="168"/>
      <c r="CI52" s="101"/>
      <c r="CJ52" s="168"/>
      <c r="CK52" s="168"/>
      <c r="CL52" s="86" t="b">
        <f>IF(CH59=16,9)</f>
        <v>0</v>
      </c>
      <c r="CM52" s="160"/>
      <c r="CN52" s="160"/>
      <c r="CO52" s="160"/>
      <c r="CP52" s="160"/>
      <c r="CQ52" s="161"/>
      <c r="CS52" s="62"/>
      <c r="CT52" s="62"/>
      <c r="CU52" s="62"/>
      <c r="CV52" s="62"/>
      <c r="CW52" s="62"/>
      <c r="CX52" s="62"/>
      <c r="CY52" s="62"/>
      <c r="CZ52" s="62"/>
      <c r="DA52" s="62"/>
      <c r="DB52" s="62"/>
      <c r="DC52" s="62"/>
      <c r="DD52" s="62"/>
      <c r="DE52" s="62"/>
      <c r="DF52" s="62"/>
    </row>
    <row r="53" spans="2:110" ht="18" hidden="1" customHeight="1" thickBot="1" x14ac:dyDescent="0.25">
      <c r="B53" s="437"/>
      <c r="C53" s="437"/>
      <c r="G53" s="797"/>
      <c r="H53"/>
      <c r="I53"/>
      <c r="J53" s="43"/>
      <c r="K53" s="43"/>
      <c r="L53" s="43"/>
      <c r="M53" s="43"/>
      <c r="N53"/>
      <c r="O53" s="794"/>
      <c r="BE53" s="477"/>
      <c r="BG53" s="119"/>
      <c r="BH53" s="119"/>
      <c r="BI53" s="119"/>
      <c r="BJ53" s="119"/>
      <c r="BP53" s="69"/>
      <c r="BQ53" s="863"/>
      <c r="BR53" s="160"/>
      <c r="BS53" s="160"/>
      <c r="BT53" s="161"/>
      <c r="BU53" s="160"/>
      <c r="BV53" s="160"/>
      <c r="BW53" s="160"/>
      <c r="CC53" s="165">
        <v>4</v>
      </c>
      <c r="CD53" s="100" t="b">
        <f>IF(CG59=15,1)</f>
        <v>0</v>
      </c>
      <c r="CE53" s="101"/>
      <c r="CF53" s="101"/>
      <c r="CG53" s="168"/>
      <c r="CH53" s="101"/>
      <c r="CI53" s="101"/>
      <c r="CJ53" s="86" t="b">
        <f>IF(CG59=15,7)</f>
        <v>0</v>
      </c>
      <c r="CK53" s="160"/>
      <c r="CL53" s="160"/>
      <c r="CM53" s="160"/>
      <c r="CN53" s="160"/>
      <c r="CO53" s="160"/>
      <c r="CP53" s="160"/>
      <c r="CQ53" s="161"/>
      <c r="CS53" s="62"/>
      <c r="CT53" s="62"/>
      <c r="CU53" s="62"/>
      <c r="CV53" s="62"/>
      <c r="CW53" s="62"/>
      <c r="CX53" s="62"/>
      <c r="CY53" s="62"/>
      <c r="CZ53" s="62"/>
      <c r="DA53" s="62"/>
      <c r="DB53" s="62"/>
      <c r="DC53" s="62"/>
      <c r="DD53" s="62"/>
      <c r="DE53" s="62"/>
      <c r="DF53" s="62"/>
    </row>
    <row r="54" spans="2:110" ht="18" hidden="1" customHeight="1" thickBot="1" x14ac:dyDescent="0.25">
      <c r="B54" s="437"/>
      <c r="C54" s="437"/>
      <c r="G54" s="797"/>
      <c r="H54"/>
      <c r="I54" s="783">
        <v>64</v>
      </c>
      <c r="J54" s="1047" t="s">
        <v>203</v>
      </c>
      <c r="K54" s="1054"/>
      <c r="L54" s="1054"/>
      <c r="M54" s="1054"/>
      <c r="N54"/>
      <c r="O54" s="794"/>
      <c r="BE54" s="477"/>
      <c r="BG54" s="119"/>
      <c r="BH54" s="119"/>
      <c r="BI54" s="119"/>
      <c r="BJ54" s="119"/>
      <c r="BP54" s="69"/>
      <c r="BQ54" s="863"/>
      <c r="BR54" s="160"/>
      <c r="BS54" s="160"/>
      <c r="BT54" s="161"/>
      <c r="BU54" s="160"/>
      <c r="BV54" s="160"/>
      <c r="BW54" s="160"/>
      <c r="CC54" s="165">
        <v>3</v>
      </c>
      <c r="CD54" s="103" t="b">
        <f>IF(CF59=14,1)</f>
        <v>0</v>
      </c>
      <c r="CE54" s="169"/>
      <c r="CF54" s="169"/>
      <c r="CG54" s="169"/>
      <c r="CH54" s="107" t="b">
        <f>IF(CF59=14,5)</f>
        <v>0</v>
      </c>
      <c r="CI54" s="160"/>
      <c r="CJ54" s="160"/>
      <c r="CK54" s="160"/>
      <c r="CL54" s="160"/>
      <c r="CM54" s="160"/>
      <c r="CN54" s="160"/>
      <c r="CO54" s="160"/>
      <c r="CP54" s="160"/>
      <c r="CQ54" s="161"/>
      <c r="CS54" s="62"/>
      <c r="CT54" s="62"/>
      <c r="CU54" s="62"/>
      <c r="CV54" s="62"/>
      <c r="CW54" s="62"/>
      <c r="CX54" s="62"/>
      <c r="CY54" s="62"/>
      <c r="CZ54" s="62"/>
      <c r="DA54" s="62"/>
      <c r="DB54" s="62"/>
      <c r="DC54" s="62"/>
      <c r="DD54" s="62"/>
      <c r="DE54" s="62"/>
      <c r="DF54" s="62"/>
    </row>
    <row r="55" spans="2:110" ht="26.25" hidden="1" customHeight="1" thickBot="1" x14ac:dyDescent="0.3">
      <c r="B55" s="437"/>
      <c r="C55" s="437"/>
      <c r="G55" s="801" t="s">
        <v>190</v>
      </c>
      <c r="H55" s="806" t="s">
        <v>197</v>
      </c>
      <c r="I55"/>
      <c r="J55" s="771" t="s">
        <v>189</v>
      </c>
      <c r="K55" s="761"/>
      <c r="L55" s="771" t="s">
        <v>187</v>
      </c>
      <c r="M55" s="924"/>
      <c r="N55"/>
      <c r="O55" s="794"/>
      <c r="BE55" s="477"/>
      <c r="BG55" s="119"/>
      <c r="BH55" s="119"/>
      <c r="BI55" s="119"/>
      <c r="BJ55" s="119"/>
      <c r="BP55" s="69"/>
      <c r="BQ55" s="863"/>
      <c r="BR55" s="160"/>
      <c r="BS55" s="160"/>
      <c r="BT55" s="161"/>
      <c r="BU55" s="160"/>
      <c r="BV55" s="160"/>
      <c r="BW55" s="160"/>
      <c r="CC55" s="165">
        <v>2</v>
      </c>
      <c r="CD55" s="103" t="b">
        <f>IF(CE59=13,1)</f>
        <v>0</v>
      </c>
      <c r="CE55" s="169"/>
      <c r="CF55" s="107" t="b">
        <f>IF(CE59=13,3)</f>
        <v>0</v>
      </c>
      <c r="CG55" s="160"/>
      <c r="CH55" s="160"/>
      <c r="CI55" s="160"/>
      <c r="CJ55" s="160"/>
      <c r="CK55" s="160"/>
      <c r="CL55" s="160"/>
      <c r="CM55" s="160"/>
      <c r="CN55" s="160"/>
      <c r="CO55" s="160"/>
      <c r="CP55" s="160"/>
      <c r="CQ55" s="161"/>
      <c r="CS55" s="62"/>
      <c r="CT55" s="62"/>
      <c r="CU55" s="62"/>
      <c r="CV55" s="62"/>
      <c r="CW55" s="62"/>
      <c r="CX55" s="62"/>
      <c r="CY55" s="62"/>
      <c r="CZ55" s="62"/>
      <c r="DA55" s="62"/>
      <c r="DB55" s="62"/>
      <c r="DC55" s="62"/>
      <c r="DD55" s="62"/>
      <c r="DE55" s="62"/>
      <c r="DF55" s="62"/>
    </row>
    <row r="56" spans="2:110" ht="36.75" hidden="1" customHeight="1" thickBot="1" x14ac:dyDescent="0.25">
      <c r="B56" s="437"/>
      <c r="C56" s="437"/>
      <c r="G56" s="793" t="s">
        <v>188</v>
      </c>
      <c r="H56" s="756"/>
      <c r="I56"/>
      <c r="J56" s="763">
        <f>+((H6-D3)/H6)*BS27</f>
        <v>81.43306554189563</v>
      </c>
      <c r="K56" s="763"/>
      <c r="L56" s="763">
        <f>+(D3/H6)*BS27</f>
        <v>40.666934458104357</v>
      </c>
      <c r="M56" s="761" t="s">
        <v>168</v>
      </c>
      <c r="N56"/>
      <c r="O56" s="794"/>
      <c r="BE56" s="477"/>
      <c r="BG56" s="119"/>
      <c r="BH56" s="119"/>
      <c r="BI56" s="119"/>
      <c r="BJ56" s="119"/>
      <c r="BP56" s="69"/>
      <c r="BQ56" s="863"/>
      <c r="BR56" s="160"/>
      <c r="BS56" s="160"/>
      <c r="BT56" s="161"/>
      <c r="BU56" s="160"/>
      <c r="BV56" s="160"/>
      <c r="BW56" s="160"/>
      <c r="BX56" s="60"/>
      <c r="BY56" s="160"/>
      <c r="CC56" s="160"/>
      <c r="CD56" s="160"/>
      <c r="CE56" s="160"/>
      <c r="CF56" s="160"/>
      <c r="CG56" s="160"/>
      <c r="CH56" s="160"/>
      <c r="CI56" s="160"/>
      <c r="CJ56" s="160"/>
      <c r="CK56" s="160"/>
      <c r="CL56" s="160"/>
      <c r="CM56" s="160"/>
      <c r="CN56" s="161"/>
      <c r="CO56" s="90"/>
      <c r="CP56" s="90"/>
      <c r="CQ56" s="90"/>
      <c r="CS56" s="62"/>
      <c r="CT56" s="62"/>
      <c r="CU56" s="62"/>
      <c r="CV56" s="62"/>
      <c r="CW56" s="62"/>
      <c r="CX56" s="62"/>
      <c r="CY56" s="62"/>
      <c r="CZ56" s="62"/>
      <c r="DA56" s="62"/>
      <c r="DB56" s="62"/>
      <c r="DC56" s="62"/>
      <c r="DD56" s="62"/>
      <c r="DE56" s="62"/>
      <c r="DF56" s="62"/>
    </row>
    <row r="57" spans="2:110" ht="42" customHeight="1" thickBot="1" x14ac:dyDescent="0.3">
      <c r="B57" s="437"/>
      <c r="C57" s="437"/>
      <c r="G57" s="799"/>
      <c r="H57" s="47"/>
      <c r="I57"/>
      <c r="J57" s="764">
        <f>ABS($H$1/J56)</f>
        <v>221.04043216621105</v>
      </c>
      <c r="K57" s="764"/>
      <c r="L57" s="764">
        <f>ABS($H$1/L56)</f>
        <v>442.62003615108608</v>
      </c>
      <c r="M57" s="766" t="s">
        <v>167</v>
      </c>
      <c r="N57"/>
      <c r="O57" s="794"/>
      <c r="BE57" s="477"/>
      <c r="BG57" s="119"/>
      <c r="BH57" s="119"/>
      <c r="BI57" s="119"/>
      <c r="BJ57" s="119"/>
      <c r="BK57" s="119"/>
      <c r="BM57" s="119"/>
      <c r="BN57" s="119"/>
      <c r="BO57" s="305"/>
      <c r="BP57" s="171"/>
      <c r="BQ57" s="866" t="s">
        <v>112</v>
      </c>
      <c r="BR57" s="740" t="s">
        <v>110</v>
      </c>
      <c r="BS57" s="173"/>
      <c r="BT57" s="174"/>
      <c r="BU57" s="174"/>
      <c r="BV57" s="174"/>
      <c r="BW57" s="174"/>
      <c r="BX57" s="174"/>
      <c r="BY57" s="174"/>
      <c r="BZ57" s="174"/>
      <c r="CA57" s="174"/>
      <c r="CB57" s="174"/>
      <c r="CC57" s="174"/>
      <c r="CD57" s="601">
        <f>SUM(CD41:CD56)</f>
        <v>1</v>
      </c>
      <c r="CE57" s="602">
        <f t="shared" ref="CE57:CT57" si="0">SUM(CE41:CE56)</f>
        <v>0</v>
      </c>
      <c r="CF57" s="602">
        <f t="shared" si="0"/>
        <v>0</v>
      </c>
      <c r="CG57" s="602">
        <f t="shared" si="0"/>
        <v>0</v>
      </c>
      <c r="CH57" s="602">
        <f t="shared" si="0"/>
        <v>0</v>
      </c>
      <c r="CI57" s="602">
        <f t="shared" si="0"/>
        <v>0</v>
      </c>
      <c r="CJ57" s="602">
        <f t="shared" si="0"/>
        <v>0</v>
      </c>
      <c r="CK57" s="602">
        <f t="shared" si="0"/>
        <v>0</v>
      </c>
      <c r="CL57" s="602">
        <f t="shared" si="0"/>
        <v>0</v>
      </c>
      <c r="CM57" s="602">
        <f t="shared" si="0"/>
        <v>0</v>
      </c>
      <c r="CN57" s="602">
        <f t="shared" si="0"/>
        <v>11</v>
      </c>
      <c r="CO57" s="602">
        <f t="shared" si="0"/>
        <v>0</v>
      </c>
      <c r="CP57" s="602">
        <f t="shared" si="0"/>
        <v>0</v>
      </c>
      <c r="CQ57" s="602">
        <f t="shared" si="0"/>
        <v>0</v>
      </c>
      <c r="CR57" s="602">
        <f t="shared" si="0"/>
        <v>0</v>
      </c>
      <c r="CS57" s="602">
        <f t="shared" si="0"/>
        <v>0</v>
      </c>
      <c r="CT57" s="603">
        <f t="shared" si="0"/>
        <v>0</v>
      </c>
      <c r="CU57" s="174"/>
      <c r="CV57" s="174"/>
      <c r="CW57" s="175"/>
      <c r="CX57" s="175"/>
      <c r="CY57" s="175"/>
      <c r="CZ57" s="175"/>
      <c r="DA57" s="175"/>
      <c r="DB57" s="175"/>
      <c r="DC57" s="176"/>
      <c r="DD57" s="72"/>
      <c r="DE57" s="62"/>
      <c r="DF57" s="62"/>
    </row>
    <row r="58" spans="2:110" ht="42" customHeight="1" thickBot="1" x14ac:dyDescent="0.3">
      <c r="B58" s="437"/>
      <c r="C58" s="437"/>
      <c r="G58" s="799"/>
      <c r="H58" s="47"/>
      <c r="I58" s="58"/>
      <c r="J58" s="1045">
        <f>ABS($F$15/BS27)*2</f>
        <v>131.04013104013106</v>
      </c>
      <c r="K58" s="1045"/>
      <c r="L58" s="1045"/>
      <c r="M58" s="1046" t="s">
        <v>308</v>
      </c>
      <c r="N58" s="1052" t="s">
        <v>309</v>
      </c>
      <c r="O58" s="794"/>
      <c r="BE58" s="477"/>
      <c r="BG58" s="119"/>
      <c r="BH58" s="119"/>
      <c r="BI58" s="119"/>
      <c r="BJ58" s="119"/>
      <c r="BK58" s="119"/>
      <c r="BL58" s="119"/>
      <c r="BM58" s="119"/>
      <c r="BN58" s="767">
        <v>4</v>
      </c>
      <c r="BO58" s="1055" t="b">
        <f>AND(BQ58&gt;=10,$BA$149&gt;=10,$BB$149&gt;=10,$BA$185&gt;=10,$BB$185&gt;=10)</f>
        <v>1</v>
      </c>
      <c r="BP58" s="67" t="str">
        <f>IF(BO58=TRUE,"O K","OVERLOAD")</f>
        <v>O K</v>
      </c>
      <c r="BQ58" s="781">
        <f>+$F$15/(BS27/2)</f>
        <v>131.04013104013106</v>
      </c>
      <c r="BR58" s="177"/>
      <c r="BS58" s="90"/>
      <c r="BT58" s="91"/>
      <c r="BU58" s="90"/>
      <c r="BV58" s="90"/>
      <c r="BW58" s="90"/>
      <c r="BX58" s="91"/>
      <c r="BY58" s="90"/>
      <c r="BZ58" s="90"/>
      <c r="CA58" s="90"/>
      <c r="CB58" s="90"/>
      <c r="CC58" s="90"/>
      <c r="CD58" s="90"/>
      <c r="CE58" s="90"/>
      <c r="CF58" s="90"/>
      <c r="CG58" s="90"/>
      <c r="CH58" s="90"/>
      <c r="CI58" s="90"/>
      <c r="CJ58" s="90"/>
      <c r="CK58" s="90"/>
      <c r="CL58" s="90"/>
      <c r="CM58" s="90"/>
      <c r="CN58" s="90"/>
      <c r="CO58" s="90"/>
      <c r="CP58" s="90"/>
      <c r="CQ58" s="90"/>
      <c r="CR58" s="90"/>
      <c r="CS58" s="90"/>
      <c r="CT58" s="90"/>
      <c r="CU58" s="62"/>
      <c r="CV58" s="62"/>
      <c r="CW58" s="62"/>
      <c r="CX58" s="62"/>
      <c r="CY58" s="62"/>
      <c r="CZ58" s="62"/>
      <c r="DA58" s="62"/>
      <c r="DB58" s="62"/>
      <c r="DC58" s="62"/>
      <c r="DD58" s="62"/>
      <c r="DE58" s="62"/>
      <c r="DF58" s="62"/>
    </row>
    <row r="59" spans="2:110" ht="20" hidden="1" x14ac:dyDescent="0.2">
      <c r="B59" s="437"/>
      <c r="C59" s="437"/>
      <c r="G59" s="797"/>
      <c r="H59"/>
      <c r="I59"/>
      <c r="J59"/>
      <c r="K59"/>
      <c r="L59"/>
      <c r="M59"/>
      <c r="N59"/>
      <c r="O59" s="794"/>
      <c r="BE59" s="477"/>
      <c r="BG59" s="119"/>
      <c r="BH59" s="119"/>
      <c r="BI59" s="119"/>
      <c r="BJ59" s="119"/>
      <c r="BK59" s="119"/>
      <c r="BL59" s="119"/>
      <c r="BM59" s="119"/>
      <c r="BN59" s="119"/>
      <c r="BO59" s="305"/>
      <c r="BP59" s="171"/>
      <c r="BQ59" s="863"/>
      <c r="BR59" s="60"/>
      <c r="BS59" s="178" t="b">
        <f>+BM111</f>
        <v>0</v>
      </c>
      <c r="BT59" s="178" t="b">
        <f>+BM112</f>
        <v>0</v>
      </c>
      <c r="BU59" s="178" t="b">
        <f>+BM113</f>
        <v>0</v>
      </c>
      <c r="BV59" s="178" t="b">
        <f>+BM114</f>
        <v>0</v>
      </c>
      <c r="BW59" s="178" t="b">
        <f>+BM115</f>
        <v>0</v>
      </c>
      <c r="BX59" s="178" t="b">
        <f>+BM116</f>
        <v>0</v>
      </c>
      <c r="BY59" s="178" t="b">
        <f>+BM117</f>
        <v>0</v>
      </c>
      <c r="BZ59" s="178" t="b">
        <f>+BM118</f>
        <v>0</v>
      </c>
      <c r="CA59" s="178" t="b">
        <f>+BM119</f>
        <v>0</v>
      </c>
      <c r="CB59" s="178" t="b">
        <f>+BM120</f>
        <v>0</v>
      </c>
      <c r="CC59" s="178" t="b">
        <f>+BM121</f>
        <v>0</v>
      </c>
      <c r="CD59" s="178" t="b">
        <f>+BM122</f>
        <v>0</v>
      </c>
      <c r="CE59" s="178" t="b">
        <f>+BM123</f>
        <v>0</v>
      </c>
      <c r="CF59" s="178" t="b">
        <f>+BM124</f>
        <v>0</v>
      </c>
      <c r="CG59" s="178" t="b">
        <f>+BM125</f>
        <v>0</v>
      </c>
      <c r="CH59" s="178" t="b">
        <f>+BM126</f>
        <v>0</v>
      </c>
      <c r="CI59" s="178">
        <f>+BM127</f>
        <v>17</v>
      </c>
      <c r="CJ59" s="178" t="b">
        <f>+BM128</f>
        <v>0</v>
      </c>
      <c r="CK59" s="178" t="b">
        <f>+BM129</f>
        <v>0</v>
      </c>
      <c r="CL59" s="178" t="b">
        <f>+BM130</f>
        <v>0</v>
      </c>
      <c r="CM59" s="178" t="b">
        <f>+BM131</f>
        <v>0</v>
      </c>
      <c r="CN59" s="178" t="b">
        <f>+BM132</f>
        <v>0</v>
      </c>
      <c r="CO59" s="178" t="b">
        <f>+BM133</f>
        <v>0</v>
      </c>
      <c r="CP59" s="178" t="b">
        <f>+BM134</f>
        <v>0</v>
      </c>
      <c r="CQ59" s="178" t="b">
        <f>+BM135</f>
        <v>0</v>
      </c>
      <c r="CR59" s="178" t="b">
        <f>+BM136</f>
        <v>0</v>
      </c>
      <c r="CS59" s="178" t="b">
        <f>+BM137</f>
        <v>0</v>
      </c>
      <c r="CT59" s="178" t="b">
        <f>+BM138</f>
        <v>0</v>
      </c>
      <c r="CU59" s="178" t="b">
        <f>+BM139</f>
        <v>0</v>
      </c>
      <c r="CV59" s="178" t="b">
        <f>+BM140</f>
        <v>0</v>
      </c>
      <c r="CW59" s="178" t="b">
        <f>+BM141</f>
        <v>0</v>
      </c>
      <c r="CX59" s="178" t="b">
        <f>+BM142</f>
        <v>0</v>
      </c>
      <c r="CY59" s="178" t="b">
        <f>+BM143</f>
        <v>0</v>
      </c>
      <c r="CZ59" s="178" t="b">
        <f>+BM144</f>
        <v>0</v>
      </c>
      <c r="DA59" s="178" t="b">
        <f>+BM145</f>
        <v>0</v>
      </c>
      <c r="DB59" s="178" t="b">
        <f>+BM146</f>
        <v>0</v>
      </c>
      <c r="DC59" s="178" t="b">
        <f>+BM147</f>
        <v>0</v>
      </c>
      <c r="DD59" s="179"/>
      <c r="DE59" s="62"/>
      <c r="DF59" s="62"/>
    </row>
    <row r="60" spans="2:110" ht="20" hidden="1" x14ac:dyDescent="0.2">
      <c r="B60" s="437"/>
      <c r="C60" s="437"/>
      <c r="G60" s="797"/>
      <c r="H60"/>
      <c r="I60"/>
      <c r="J60"/>
      <c r="K60"/>
      <c r="L60"/>
      <c r="M60"/>
      <c r="N60"/>
      <c r="O60" s="794"/>
      <c r="BE60" s="477"/>
      <c r="BG60" s="119"/>
      <c r="BH60" s="119"/>
      <c r="BI60" s="119"/>
      <c r="BJ60" s="119"/>
      <c r="BK60" s="119"/>
      <c r="BL60" s="119"/>
      <c r="BM60" s="119"/>
      <c r="BN60" s="119"/>
      <c r="BO60" s="305"/>
      <c r="BP60" s="171"/>
      <c r="BQ60" s="863"/>
      <c r="BR60" s="62"/>
      <c r="BS60" s="179" t="b">
        <f>+BS59</f>
        <v>0</v>
      </c>
      <c r="BT60" s="179" t="b">
        <f t="shared" ref="BT60:CK60" si="1">+BT59</f>
        <v>0</v>
      </c>
      <c r="BU60" s="179" t="b">
        <f t="shared" si="1"/>
        <v>0</v>
      </c>
      <c r="BV60" s="179" t="b">
        <f t="shared" si="1"/>
        <v>0</v>
      </c>
      <c r="BW60" s="179" t="b">
        <f t="shared" si="1"/>
        <v>0</v>
      </c>
      <c r="BX60" s="179" t="b">
        <f t="shared" si="1"/>
        <v>0</v>
      </c>
      <c r="BY60" s="179" t="b">
        <f>+BY59</f>
        <v>0</v>
      </c>
      <c r="BZ60" s="179" t="b">
        <f t="shared" si="1"/>
        <v>0</v>
      </c>
      <c r="CA60" s="179" t="b">
        <f t="shared" si="1"/>
        <v>0</v>
      </c>
      <c r="CB60" s="179" t="b">
        <f t="shared" si="1"/>
        <v>0</v>
      </c>
      <c r="CC60" s="179" t="b">
        <f t="shared" si="1"/>
        <v>0</v>
      </c>
      <c r="CD60" s="179" t="b">
        <f>+CD59</f>
        <v>0</v>
      </c>
      <c r="CE60" s="179" t="b">
        <f>+CE59</f>
        <v>0</v>
      </c>
      <c r="CF60" s="179" t="b">
        <f>+CF59</f>
        <v>0</v>
      </c>
      <c r="CG60" s="179" t="b">
        <f>+CG59</f>
        <v>0</v>
      </c>
      <c r="CH60" s="179" t="b">
        <f>+CH59</f>
        <v>0</v>
      </c>
      <c r="CI60" s="179">
        <f t="shared" si="1"/>
        <v>17</v>
      </c>
      <c r="CJ60" s="179" t="b">
        <f t="shared" si="1"/>
        <v>0</v>
      </c>
      <c r="CK60" s="179" t="b">
        <f t="shared" si="1"/>
        <v>0</v>
      </c>
      <c r="CL60" s="179" t="b">
        <f>+CL59</f>
        <v>0</v>
      </c>
      <c r="CM60" s="179" t="b">
        <f>+CM59</f>
        <v>0</v>
      </c>
      <c r="CN60" s="179" t="b">
        <f t="shared" ref="CN60:DC60" si="2">+CN59</f>
        <v>0</v>
      </c>
      <c r="CO60" s="179" t="b">
        <f t="shared" si="2"/>
        <v>0</v>
      </c>
      <c r="CP60" s="179" t="b">
        <f t="shared" si="2"/>
        <v>0</v>
      </c>
      <c r="CQ60" s="179" t="b">
        <f t="shared" si="2"/>
        <v>0</v>
      </c>
      <c r="CR60" s="179" t="b">
        <f t="shared" si="2"/>
        <v>0</v>
      </c>
      <c r="CS60" s="179" t="b">
        <f t="shared" si="2"/>
        <v>0</v>
      </c>
      <c r="CT60" s="179" t="b">
        <f t="shared" si="2"/>
        <v>0</v>
      </c>
      <c r="CU60" s="179" t="b">
        <f t="shared" si="2"/>
        <v>0</v>
      </c>
      <c r="CV60" s="179" t="b">
        <f t="shared" si="2"/>
        <v>0</v>
      </c>
      <c r="CW60" s="179" t="b">
        <f t="shared" si="2"/>
        <v>0</v>
      </c>
      <c r="CX60" s="179" t="b">
        <f t="shared" si="2"/>
        <v>0</v>
      </c>
      <c r="CY60" s="179" t="b">
        <f t="shared" si="2"/>
        <v>0</v>
      </c>
      <c r="CZ60" s="179" t="b">
        <f t="shared" si="2"/>
        <v>0</v>
      </c>
      <c r="DA60" s="179" t="b">
        <f t="shared" si="2"/>
        <v>0</v>
      </c>
      <c r="DB60" s="179" t="b">
        <f t="shared" si="2"/>
        <v>0</v>
      </c>
      <c r="DC60" s="179" t="b">
        <f t="shared" si="2"/>
        <v>0</v>
      </c>
      <c r="DD60" s="179"/>
      <c r="DE60" s="62"/>
      <c r="DF60" s="62"/>
    </row>
    <row r="61" spans="2:110" ht="16" customHeight="1" thickBot="1" x14ac:dyDescent="0.25">
      <c r="B61" s="437"/>
      <c r="C61" s="437"/>
      <c r="G61" s="797"/>
      <c r="H61"/>
      <c r="I61"/>
      <c r="J61"/>
      <c r="K61"/>
      <c r="L61"/>
      <c r="M61"/>
      <c r="N61"/>
      <c r="O61" s="794"/>
      <c r="BE61" s="477"/>
      <c r="BG61" s="119"/>
      <c r="BH61" s="119"/>
      <c r="BI61" s="119"/>
      <c r="BJ61" s="119"/>
      <c r="BK61" s="119"/>
      <c r="BL61" s="119"/>
      <c r="BM61" s="119"/>
      <c r="BN61" s="119"/>
      <c r="BO61" s="305"/>
      <c r="BP61" s="171"/>
      <c r="BQ61" s="863"/>
      <c r="BR61" s="62"/>
      <c r="BS61" s="179"/>
      <c r="BT61" s="179"/>
      <c r="BU61" s="179"/>
      <c r="BV61" s="179"/>
      <c r="BW61" s="179"/>
      <c r="BX61" s="179"/>
      <c r="BY61" s="179"/>
      <c r="BZ61" s="179"/>
      <c r="CA61" s="179"/>
      <c r="CB61" s="179"/>
      <c r="CC61" s="179"/>
      <c r="CD61" s="179"/>
      <c r="CE61" s="179"/>
      <c r="CF61" s="179"/>
      <c r="CG61" s="179"/>
      <c r="CH61" s="179"/>
      <c r="CI61" s="179"/>
      <c r="CJ61" s="179"/>
      <c r="CK61" s="179"/>
      <c r="CL61" s="179"/>
      <c r="CM61" s="179"/>
      <c r="CN61" s="179"/>
      <c r="CO61" s="179"/>
      <c r="CP61" s="179"/>
      <c r="CQ61" s="179"/>
      <c r="CR61" s="179"/>
      <c r="CS61" s="179"/>
      <c r="CT61" s="179"/>
      <c r="CU61" s="179"/>
      <c r="CV61" s="179"/>
      <c r="CW61" s="179"/>
      <c r="CX61" s="179"/>
      <c r="CY61" s="179"/>
      <c r="CZ61" s="179"/>
      <c r="DA61" s="179"/>
      <c r="DB61" s="179"/>
      <c r="DC61" s="179"/>
      <c r="DD61" s="179"/>
      <c r="DE61" s="62"/>
      <c r="DF61" s="62"/>
    </row>
    <row r="62" spans="2:110" ht="42" customHeight="1" thickBot="1" x14ac:dyDescent="0.3">
      <c r="B62" s="437"/>
      <c r="C62" s="437"/>
      <c r="G62" s="797"/>
      <c r="H62"/>
      <c r="I62"/>
      <c r="J62"/>
      <c r="K62"/>
      <c r="L62"/>
      <c r="M62"/>
      <c r="N62"/>
      <c r="O62" s="794"/>
      <c r="BD62" s="477"/>
      <c r="BE62" s="477"/>
      <c r="BG62" s="119"/>
      <c r="BH62" s="119"/>
      <c r="BI62" s="119"/>
      <c r="BJ62" s="119"/>
      <c r="BK62" s="119"/>
      <c r="BL62" s="119"/>
      <c r="BM62" s="119"/>
      <c r="BN62" s="119"/>
      <c r="BO62" s="305"/>
      <c r="BP62" s="171"/>
      <c r="BQ62" s="866" t="s">
        <v>112</v>
      </c>
      <c r="BR62" s="180" t="s">
        <v>113</v>
      </c>
      <c r="BS62" s="591" t="str">
        <f>IF(BS60=1,17,"")</f>
        <v/>
      </c>
      <c r="BT62" s="592" t="str">
        <f>IF(BT60=2,16,"")</f>
        <v/>
      </c>
      <c r="BU62" s="592" t="str">
        <f>IF(BU60=3,15,"")</f>
        <v/>
      </c>
      <c r="BV62" s="592" t="str">
        <f>IF(BV60=4,14,"")</f>
        <v/>
      </c>
      <c r="BW62" s="592" t="str">
        <f>IF(BW60=5,13,"")</f>
        <v/>
      </c>
      <c r="BX62" s="592" t="str">
        <f>IF(BX60=6,12,"")</f>
        <v/>
      </c>
      <c r="BY62" s="592" t="str">
        <f>IF(BY60=7,11,"")</f>
        <v/>
      </c>
      <c r="BZ62" s="592" t="str">
        <f>IF(BZ60=8,10,"")</f>
        <v/>
      </c>
      <c r="CA62" s="592" t="str">
        <f>IF(CA60=9,9,"")</f>
        <v/>
      </c>
      <c r="CB62" s="592" t="str">
        <f>IF(CB60=10,8,"")</f>
        <v/>
      </c>
      <c r="CC62" s="592" t="str">
        <f>IF(CC60=11,7,"")</f>
        <v/>
      </c>
      <c r="CD62" s="733" t="str">
        <f>IF(CD60=12,1,"")</f>
        <v/>
      </c>
      <c r="CE62" s="590" t="str">
        <f>IF(CE60=13,2,"")</f>
        <v/>
      </c>
      <c r="CF62" s="590" t="str">
        <f>IF(CF60=14,3,"")</f>
        <v/>
      </c>
      <c r="CG62" s="590" t="str">
        <f>IF(CG60=15,4,"")</f>
        <v/>
      </c>
      <c r="CH62" s="590" t="str">
        <f>IF(CH60=16,5,"")</f>
        <v/>
      </c>
      <c r="CI62" s="590">
        <f>IF(CI60=17,6,"")</f>
        <v>6</v>
      </c>
      <c r="CJ62" s="590" t="str">
        <f>IF(CJ60=18,7,"")</f>
        <v/>
      </c>
      <c r="CK62" s="590" t="str">
        <f>IF(CK60=19,8,"")</f>
        <v/>
      </c>
      <c r="CL62" s="590" t="str">
        <f>IF(CL60=20,9,"")</f>
        <v/>
      </c>
      <c r="CM62" s="590" t="str">
        <f>IF(CM60=21,10,"")</f>
        <v/>
      </c>
      <c r="CN62" s="590" t="str">
        <f>IF(CN60=22,11,"")</f>
        <v/>
      </c>
      <c r="CO62" s="590" t="str">
        <f>IF(CO60=23,12,"")</f>
        <v/>
      </c>
      <c r="CP62" s="590" t="str">
        <f>IF(CP60=24,13,"")</f>
        <v/>
      </c>
      <c r="CQ62" s="590" t="str">
        <f>IF(CQ60=25,14,"")</f>
        <v/>
      </c>
      <c r="CR62" s="590" t="str">
        <f>IF(CR60=26,15,"")</f>
        <v/>
      </c>
      <c r="CS62" s="590" t="str">
        <f>IF(CS60=27,16,"")</f>
        <v/>
      </c>
      <c r="CT62" s="734" t="str">
        <f>IF(CT60=28,17,"")</f>
        <v/>
      </c>
      <c r="CU62" s="599" t="str">
        <f>IF(CU60=29,9,"")</f>
        <v/>
      </c>
      <c r="CV62" s="599" t="str">
        <f>IF(CV60=30,10,"")</f>
        <v/>
      </c>
      <c r="CW62" s="599" t="str">
        <f>IF(CW60=31,11,"")</f>
        <v/>
      </c>
      <c r="CX62" s="599" t="str">
        <f>IF(CX60=32,12,"")</f>
        <v/>
      </c>
      <c r="CY62" s="599" t="str">
        <f>IF(CY60=33,13,"")</f>
        <v/>
      </c>
      <c r="CZ62" s="599" t="str">
        <f>IF(CZ60=34,14,"")</f>
        <v/>
      </c>
      <c r="DA62" s="599" t="str">
        <f>IF(DA60=35,15,"")</f>
        <v/>
      </c>
      <c r="DB62" s="599" t="str">
        <f>IF(DB60=36,16,"")</f>
        <v/>
      </c>
      <c r="DC62" s="600" t="str">
        <f>IF(DC60=37,17,"")</f>
        <v/>
      </c>
      <c r="DD62" s="181"/>
      <c r="DE62" s="62"/>
      <c r="DF62" s="62"/>
    </row>
    <row r="63" spans="2:110" ht="42" customHeight="1" thickBot="1" x14ac:dyDescent="0.3">
      <c r="B63" s="437"/>
      <c r="C63" s="437"/>
      <c r="G63" s="797"/>
      <c r="H63"/>
      <c r="I63"/>
      <c r="J63"/>
      <c r="K63"/>
      <c r="L63"/>
      <c r="M63"/>
      <c r="N63"/>
      <c r="O63" s="794"/>
      <c r="BD63" s="477"/>
      <c r="BE63" s="477"/>
      <c r="BG63" s="119"/>
      <c r="BH63" s="119"/>
      <c r="BI63" s="119"/>
      <c r="BJ63" s="119"/>
      <c r="BK63" s="119"/>
      <c r="BL63" s="119"/>
      <c r="BM63" s="119"/>
      <c r="BN63" s="767">
        <v>5</v>
      </c>
      <c r="BO63" s="1055" t="b">
        <f>AND(BQ63&gt;=10,$BA$149&gt;=10,$BB$149&gt;=10,$BA$185&gt;=10,$BB$185&gt;=10)</f>
        <v>1</v>
      </c>
      <c r="BP63" s="67" t="str">
        <f>IF(BO63=TRUE,"O K","OVERLOAD")</f>
        <v>O K</v>
      </c>
      <c r="BQ63" s="781">
        <f>IF(SUM(BS62:CC62)&gt;0,K87,0)+IF(SUM(CD62:CT62)&gt;0,L87,0)+IF(SUM(CU62:DC62)&gt;0,M87,0)</f>
        <v>65.520065520065529</v>
      </c>
      <c r="BR63" s="631" t="s">
        <v>139</v>
      </c>
      <c r="BS63" s="632">
        <v>-10</v>
      </c>
      <c r="BT63" s="632">
        <v>-9</v>
      </c>
      <c r="BU63" s="632">
        <v>-8</v>
      </c>
      <c r="BV63" s="632">
        <v>-7</v>
      </c>
      <c r="BW63" s="632">
        <v>-6</v>
      </c>
      <c r="BX63" s="632">
        <v>-5</v>
      </c>
      <c r="BY63" s="632">
        <v>-4</v>
      </c>
      <c r="BZ63" s="632">
        <v>-3</v>
      </c>
      <c r="CA63" s="632">
        <v>-2</v>
      </c>
      <c r="CB63" s="632">
        <v>-1</v>
      </c>
      <c r="CC63" s="632">
        <v>0</v>
      </c>
      <c r="CD63" s="632">
        <v>1</v>
      </c>
      <c r="CE63" s="632">
        <v>2</v>
      </c>
      <c r="CF63" s="632">
        <v>3</v>
      </c>
      <c r="CG63" s="632">
        <v>4</v>
      </c>
      <c r="CH63" s="632">
        <v>5</v>
      </c>
      <c r="CI63" s="632">
        <v>6</v>
      </c>
      <c r="CJ63" s="632">
        <v>7</v>
      </c>
      <c r="CK63" s="632">
        <v>8</v>
      </c>
      <c r="CL63" s="632">
        <v>9</v>
      </c>
      <c r="CM63" s="632">
        <v>10</v>
      </c>
      <c r="CN63" s="632">
        <v>11</v>
      </c>
      <c r="CO63" s="632">
        <v>12</v>
      </c>
      <c r="CP63" s="632">
        <v>13</v>
      </c>
      <c r="CQ63" s="632">
        <v>14</v>
      </c>
      <c r="CR63" s="632">
        <v>15</v>
      </c>
      <c r="CS63" s="632">
        <v>16</v>
      </c>
      <c r="CT63" s="632">
        <v>17</v>
      </c>
      <c r="CU63" s="632">
        <v>18</v>
      </c>
      <c r="CV63" s="632">
        <v>19</v>
      </c>
      <c r="CW63" s="632">
        <v>20</v>
      </c>
      <c r="CX63" s="632">
        <v>21</v>
      </c>
      <c r="CY63" s="632">
        <v>22</v>
      </c>
      <c r="CZ63" s="632">
        <v>23</v>
      </c>
      <c r="DA63" s="632">
        <v>24</v>
      </c>
      <c r="DB63" s="632">
        <v>25</v>
      </c>
      <c r="DC63" s="634">
        <v>26</v>
      </c>
      <c r="DD63" s="181"/>
      <c r="DE63" s="62"/>
      <c r="DF63" s="62"/>
    </row>
    <row r="64" spans="2:110" ht="146.25" customHeight="1" thickBot="1" x14ac:dyDescent="0.25">
      <c r="B64" s="437"/>
      <c r="C64" s="437"/>
      <c r="G64" s="797"/>
      <c r="H64"/>
      <c r="I64"/>
      <c r="J64"/>
      <c r="K64"/>
      <c r="L64"/>
      <c r="M64"/>
      <c r="N64"/>
      <c r="O64" s="794"/>
      <c r="BD64" s="477"/>
      <c r="BE64" s="477"/>
      <c r="BG64" s="119"/>
      <c r="BH64" s="119"/>
      <c r="BI64" s="119"/>
      <c r="BJ64" s="119"/>
      <c r="BK64" s="119"/>
      <c r="BL64" s="119"/>
      <c r="BM64" s="119"/>
      <c r="BN64" s="119"/>
      <c r="BO64" s="305"/>
      <c r="BP64" s="119"/>
      <c r="BR64" s="62"/>
      <c r="BS64" s="182"/>
      <c r="BT64" s="182"/>
      <c r="BU64" s="182"/>
      <c r="BV64" s="182"/>
      <c r="BW64" s="182"/>
      <c r="BX64" s="182"/>
      <c r="BY64" s="182"/>
      <c r="BZ64" s="182"/>
      <c r="CA64" s="182"/>
      <c r="CB64" s="182"/>
      <c r="CC64" s="182"/>
      <c r="CD64" s="182"/>
      <c r="CE64" s="182"/>
      <c r="CF64" s="182"/>
      <c r="CG64" s="182"/>
      <c r="CH64" s="182"/>
      <c r="CI64" s="182"/>
      <c r="CJ64" s="182"/>
      <c r="CK64" s="182"/>
      <c r="CL64" s="182"/>
      <c r="CM64" s="182"/>
      <c r="CN64" s="182"/>
      <c r="CO64" s="182"/>
      <c r="CP64" s="182"/>
      <c r="CQ64" s="182"/>
      <c r="CR64" s="182"/>
      <c r="CS64" s="182"/>
      <c r="CT64" s="182"/>
      <c r="CU64" s="182"/>
      <c r="CV64" s="182"/>
      <c r="CW64" s="182"/>
      <c r="CX64" s="182"/>
      <c r="CY64" s="182"/>
      <c r="CZ64" s="182"/>
      <c r="DA64" s="182"/>
      <c r="DB64" s="182"/>
      <c r="DC64" s="182"/>
      <c r="DD64" s="182"/>
      <c r="DE64" s="62"/>
      <c r="DF64" s="62"/>
    </row>
    <row r="65" spans="2:110" ht="24" hidden="1" thickBot="1" x14ac:dyDescent="0.3">
      <c r="G65" s="797"/>
      <c r="H65"/>
      <c r="I65"/>
      <c r="J65"/>
      <c r="K65"/>
      <c r="L65"/>
      <c r="M65"/>
      <c r="N65"/>
      <c r="O65" s="794"/>
      <c r="BD65" s="446"/>
      <c r="BE65" s="446"/>
      <c r="BP65" s="69"/>
      <c r="BQ65" s="11"/>
      <c r="BR65" s="79"/>
      <c r="BS65" s="80"/>
      <c r="BT65" s="80"/>
      <c r="BU65" s="80"/>
      <c r="BV65" s="80"/>
      <c r="BW65" s="80"/>
      <c r="BX65" s="80"/>
      <c r="BY65" s="80"/>
      <c r="BZ65" s="80"/>
      <c r="CA65" s="77"/>
      <c r="CB65" s="77"/>
      <c r="CC65" s="72"/>
      <c r="CD65" s="72"/>
      <c r="CE65" s="72"/>
      <c r="CF65" s="72"/>
      <c r="CG65" s="72"/>
      <c r="CH65" s="72"/>
      <c r="CI65" s="72"/>
      <c r="CJ65" s="72"/>
      <c r="CK65" s="72"/>
      <c r="CL65" s="72"/>
      <c r="CM65" s="72"/>
      <c r="CN65" s="72"/>
      <c r="CO65" s="72"/>
      <c r="CP65" s="26"/>
      <c r="CQ65" s="78"/>
      <c r="CR65" s="78"/>
      <c r="CS65" s="78"/>
      <c r="CT65" s="78"/>
      <c r="CU65" s="75"/>
      <c r="CV65" s="75"/>
      <c r="CW65" s="75"/>
      <c r="CX65" s="75"/>
      <c r="CY65" s="75"/>
      <c r="CZ65" s="75"/>
      <c r="DA65" s="75"/>
      <c r="DB65" s="75"/>
      <c r="DC65" s="75"/>
      <c r="DD65" s="75"/>
      <c r="DE65" s="10"/>
      <c r="DF65" s="62"/>
    </row>
    <row r="66" spans="2:110" ht="24" hidden="1" thickBot="1" x14ac:dyDescent="0.3">
      <c r="G66" s="797"/>
      <c r="H66"/>
      <c r="I66"/>
      <c r="J66"/>
      <c r="K66"/>
      <c r="L66"/>
      <c r="M66"/>
      <c r="N66"/>
      <c r="O66" s="794"/>
      <c r="V66" s="444"/>
      <c r="W66" s="444"/>
      <c r="X66" s="444"/>
      <c r="Y66" s="444"/>
      <c r="Z66" s="444"/>
      <c r="AA66" s="444"/>
      <c r="BD66" s="446"/>
      <c r="BE66" s="446"/>
      <c r="BP66" s="69"/>
      <c r="BQ66" s="11"/>
      <c r="BR66" s="79">
        <v>36</v>
      </c>
      <c r="BS66" s="80"/>
      <c r="BT66" s="80"/>
      <c r="BU66" s="80"/>
      <c r="BV66" s="80"/>
      <c r="BW66" s="80"/>
      <c r="BX66" s="80"/>
      <c r="BY66" s="80"/>
      <c r="BZ66" s="80"/>
      <c r="CA66" s="77"/>
      <c r="CB66" s="77"/>
      <c r="CC66" s="72"/>
      <c r="CD66" s="72"/>
      <c r="CE66" s="72"/>
      <c r="CF66" s="72"/>
      <c r="CG66" s="72"/>
      <c r="CH66" s="72"/>
      <c r="CI66" s="72"/>
      <c r="CJ66" s="81"/>
      <c r="CK66" s="82"/>
      <c r="CL66" s="83"/>
      <c r="CM66" s="72"/>
      <c r="CN66" s="72"/>
      <c r="CO66" s="72"/>
      <c r="CP66" s="26"/>
      <c r="CQ66" s="78"/>
      <c r="CR66" s="78"/>
      <c r="CS66" s="78"/>
      <c r="CT66" s="78"/>
      <c r="CU66" s="75"/>
      <c r="CV66" s="75"/>
      <c r="CW66" s="75"/>
      <c r="CX66" s="75"/>
      <c r="CY66" s="75"/>
      <c r="CZ66" s="75"/>
      <c r="DA66" s="84" t="b">
        <f>IF(DB59=36,35)</f>
        <v>0</v>
      </c>
      <c r="DB66" s="85"/>
      <c r="DC66" s="86" t="b">
        <f>IF(DB59=36,37)</f>
        <v>0</v>
      </c>
      <c r="DD66" s="75"/>
      <c r="DE66" s="10"/>
      <c r="DF66" s="62"/>
    </row>
    <row r="67" spans="2:110" ht="24" hidden="1" thickBot="1" x14ac:dyDescent="0.3">
      <c r="B67" s="443"/>
      <c r="C67" s="443"/>
      <c r="D67" s="442"/>
      <c r="E67" s="442"/>
      <c r="F67" s="442"/>
      <c r="G67" s="797"/>
      <c r="H67"/>
      <c r="I67"/>
      <c r="J67"/>
      <c r="K67"/>
      <c r="L67"/>
      <c r="M67"/>
      <c r="N67"/>
      <c r="O67" s="794"/>
      <c r="V67" s="444"/>
      <c r="W67" s="444"/>
      <c r="X67" s="444"/>
      <c r="Y67" s="444"/>
      <c r="Z67" s="444"/>
      <c r="AA67" s="444"/>
      <c r="BD67" s="446"/>
      <c r="BE67" s="446"/>
      <c r="BP67" s="69"/>
      <c r="BQ67" s="11"/>
      <c r="BR67" s="79">
        <v>35</v>
      </c>
      <c r="BS67" s="80"/>
      <c r="BT67" s="80"/>
      <c r="BU67" s="80"/>
      <c r="BV67" s="80"/>
      <c r="BW67" s="80"/>
      <c r="BX67" s="80"/>
      <c r="BY67" s="80"/>
      <c r="BZ67" s="80"/>
      <c r="CA67" s="77"/>
      <c r="CB67" s="77"/>
      <c r="CC67" s="72"/>
      <c r="CD67" s="72"/>
      <c r="CE67" s="72"/>
      <c r="CF67" s="72"/>
      <c r="CG67" s="72"/>
      <c r="CH67" s="72"/>
      <c r="CI67" s="72"/>
      <c r="CJ67" s="87"/>
      <c r="CK67" s="72"/>
      <c r="CL67" s="88"/>
      <c r="CM67" s="72"/>
      <c r="CN67" s="72"/>
      <c r="CO67" s="72"/>
      <c r="CP67" s="26"/>
      <c r="CQ67" s="78"/>
      <c r="CR67" s="78"/>
      <c r="CS67" s="78"/>
      <c r="CT67" s="78"/>
      <c r="CU67" s="75"/>
      <c r="CV67" s="75"/>
      <c r="CW67" s="75"/>
      <c r="CX67" s="75"/>
      <c r="CY67" s="84" t="b">
        <f>IF(DA59=35,33)</f>
        <v>0</v>
      </c>
      <c r="CZ67" s="85"/>
      <c r="DA67" s="85"/>
      <c r="DB67" s="85"/>
      <c r="DC67" s="86" t="b">
        <f>IF(DA59=35,37)</f>
        <v>0</v>
      </c>
      <c r="DD67" s="75"/>
      <c r="DE67" s="10"/>
      <c r="DF67" s="62"/>
    </row>
    <row r="68" spans="2:110" ht="24" hidden="1" thickBot="1" x14ac:dyDescent="0.3">
      <c r="B68" s="443"/>
      <c r="C68" s="443"/>
      <c r="D68" s="442"/>
      <c r="E68" s="442"/>
      <c r="F68" s="442"/>
      <c r="G68" s="797"/>
      <c r="H68"/>
      <c r="I68"/>
      <c r="J68"/>
      <c r="K68"/>
      <c r="L68"/>
      <c r="M68"/>
      <c r="N68"/>
      <c r="O68" s="794"/>
      <c r="V68" s="444"/>
      <c r="W68" s="444"/>
      <c r="X68" s="444"/>
      <c r="Y68" s="444"/>
      <c r="Z68" s="444"/>
      <c r="AA68" s="444"/>
      <c r="BD68" s="463"/>
      <c r="BE68" s="464"/>
      <c r="BF68" s="463"/>
      <c r="BP68" s="69"/>
      <c r="BQ68" s="11"/>
      <c r="BR68" s="79">
        <v>34</v>
      </c>
      <c r="BS68" s="80"/>
      <c r="BT68" s="80"/>
      <c r="BU68" s="80"/>
      <c r="BV68" s="80"/>
      <c r="BW68" s="80"/>
      <c r="BX68" s="80"/>
      <c r="BY68" s="80"/>
      <c r="BZ68" s="80"/>
      <c r="CA68" s="77"/>
      <c r="CB68" s="77"/>
      <c r="CC68" s="72"/>
      <c r="CD68" s="72"/>
      <c r="CE68" s="72"/>
      <c r="CF68" s="72"/>
      <c r="CG68" s="72"/>
      <c r="CH68" s="72"/>
      <c r="CI68" s="72"/>
      <c r="CJ68" s="87"/>
      <c r="CK68" s="72"/>
      <c r="CL68" s="88"/>
      <c r="CM68" s="72"/>
      <c r="CN68" s="72"/>
      <c r="CO68" s="72"/>
      <c r="CP68" s="26"/>
      <c r="CQ68" s="78"/>
      <c r="CR68" s="78"/>
      <c r="CS68" s="78"/>
      <c r="CT68" s="78"/>
      <c r="CU68" s="75"/>
      <c r="CV68" s="75"/>
      <c r="CW68" s="84" t="b">
        <f>IF(CZ59=34,31)</f>
        <v>0</v>
      </c>
      <c r="CX68" s="85"/>
      <c r="CY68" s="85"/>
      <c r="CZ68" s="85"/>
      <c r="DA68" s="85"/>
      <c r="DB68" s="85"/>
      <c r="DC68" s="86" t="b">
        <f>IF(CZ59=34,37)</f>
        <v>0</v>
      </c>
      <c r="DD68" s="75"/>
      <c r="DE68" s="10"/>
      <c r="DF68" s="62"/>
    </row>
    <row r="69" spans="2:110" ht="24" hidden="1" thickBot="1" x14ac:dyDescent="0.3">
      <c r="B69" s="443"/>
      <c r="C69" s="443"/>
      <c r="D69" s="442"/>
      <c r="E69" s="442"/>
      <c r="F69" s="442"/>
      <c r="G69" s="797"/>
      <c r="H69"/>
      <c r="I69"/>
      <c r="J69"/>
      <c r="K69"/>
      <c r="L69"/>
      <c r="M69"/>
      <c r="N69"/>
      <c r="O69" s="794"/>
      <c r="U69" s="444"/>
      <c r="AB69" s="444"/>
      <c r="AC69" s="444"/>
      <c r="AD69" s="444"/>
      <c r="AE69" s="444"/>
      <c r="BD69" s="446"/>
      <c r="BE69" s="446"/>
      <c r="BP69" s="69"/>
      <c r="BQ69" s="11"/>
      <c r="BR69" s="79">
        <v>33</v>
      </c>
      <c r="BS69" s="80"/>
      <c r="BT69" s="80"/>
      <c r="BU69" s="80"/>
      <c r="BV69" s="80"/>
      <c r="BW69" s="80"/>
      <c r="BX69" s="80"/>
      <c r="BY69" s="80"/>
      <c r="BZ69" s="80"/>
      <c r="CA69" s="77"/>
      <c r="CB69" s="77"/>
      <c r="CC69" s="72"/>
      <c r="CD69" s="72"/>
      <c r="CE69" s="72"/>
      <c r="CF69" s="72"/>
      <c r="CG69" s="72"/>
      <c r="CH69" s="72"/>
      <c r="CI69" s="72"/>
      <c r="CJ69" s="87"/>
      <c r="CK69" s="72"/>
      <c r="CL69" s="88"/>
      <c r="CM69" s="72"/>
      <c r="CN69" s="72"/>
      <c r="CO69" s="72"/>
      <c r="CP69" s="26"/>
      <c r="CQ69" s="78"/>
      <c r="CR69" s="78"/>
      <c r="CS69" s="78"/>
      <c r="CT69" s="78"/>
      <c r="CU69" s="84" t="b">
        <f>IF(CY59=33,29)</f>
        <v>0</v>
      </c>
      <c r="CV69" s="85"/>
      <c r="CW69" s="85"/>
      <c r="CX69" s="85"/>
      <c r="CY69" s="85"/>
      <c r="CZ69" s="85"/>
      <c r="DA69" s="85"/>
      <c r="DB69" s="85"/>
      <c r="DC69" s="86" t="b">
        <f>IF(CY59=33,37)</f>
        <v>0</v>
      </c>
      <c r="DD69" s="75"/>
      <c r="DE69" s="10"/>
      <c r="DF69" s="62"/>
    </row>
    <row r="70" spans="2:110" ht="21" hidden="1" thickBot="1" x14ac:dyDescent="0.25">
      <c r="B70" s="443"/>
      <c r="C70" s="443"/>
      <c r="D70" s="442"/>
      <c r="E70" s="442"/>
      <c r="F70" s="442"/>
      <c r="G70" s="797"/>
      <c r="H70"/>
      <c r="I70"/>
      <c r="J70"/>
      <c r="K70"/>
      <c r="L70"/>
      <c r="M70"/>
      <c r="N70"/>
      <c r="O70" s="794"/>
      <c r="U70" s="444"/>
      <c r="AB70" s="444"/>
      <c r="AC70" s="444"/>
      <c r="AD70" s="444"/>
      <c r="AE70" s="444"/>
      <c r="BD70" s="446"/>
      <c r="BE70" s="446"/>
      <c r="BP70" s="69"/>
      <c r="BR70" s="79">
        <v>32</v>
      </c>
      <c r="BS70" s="90"/>
      <c r="BT70" s="90"/>
      <c r="BU70" s="90"/>
      <c r="BV70" s="90"/>
      <c r="BW70" s="90"/>
      <c r="BX70" s="91"/>
      <c r="BY70" s="90"/>
      <c r="BZ70" s="90"/>
      <c r="CA70" s="90"/>
      <c r="CB70" s="90"/>
      <c r="CC70" s="90"/>
      <c r="CD70" s="90"/>
      <c r="CE70" s="90"/>
      <c r="CF70" s="90"/>
      <c r="CG70" s="90"/>
      <c r="CH70" s="90"/>
      <c r="CI70" s="90"/>
      <c r="CJ70" s="92"/>
      <c r="CK70" s="90"/>
      <c r="CL70" s="93"/>
      <c r="CM70" s="90"/>
      <c r="CN70" s="90"/>
      <c r="CO70" s="90"/>
      <c r="CP70" s="91"/>
      <c r="CQ70" s="62"/>
      <c r="CR70" s="62"/>
      <c r="CS70" s="84" t="b">
        <f>IF(CX59=32,27)</f>
        <v>0</v>
      </c>
      <c r="CT70" s="94"/>
      <c r="CU70" s="94"/>
      <c r="CV70" s="94"/>
      <c r="CW70" s="94"/>
      <c r="CX70" s="94"/>
      <c r="CY70" s="94"/>
      <c r="CZ70" s="94"/>
      <c r="DA70" s="94"/>
      <c r="DB70" s="94"/>
      <c r="DC70" s="86" t="b">
        <f>IF(CX59=32,37)</f>
        <v>0</v>
      </c>
      <c r="DD70" s="62"/>
      <c r="DE70" s="62"/>
      <c r="DF70" s="62"/>
    </row>
    <row r="71" spans="2:110" ht="21" hidden="1" thickBot="1" x14ac:dyDescent="0.25">
      <c r="B71" s="443"/>
      <c r="C71" s="443"/>
      <c r="D71" s="442"/>
      <c r="E71" s="442"/>
      <c r="F71" s="442"/>
      <c r="G71" s="797"/>
      <c r="H71"/>
      <c r="I71"/>
      <c r="J71"/>
      <c r="K71"/>
      <c r="L71"/>
      <c r="M71"/>
      <c r="N71"/>
      <c r="O71" s="794"/>
      <c r="U71" s="444"/>
      <c r="AB71" s="444"/>
      <c r="AC71" s="444"/>
      <c r="AD71" s="444"/>
      <c r="AE71" s="444"/>
      <c r="BD71" s="446"/>
      <c r="BE71" s="446"/>
      <c r="BP71" s="69"/>
      <c r="BR71" s="79">
        <v>31</v>
      </c>
      <c r="BS71" s="90"/>
      <c r="BT71" s="90"/>
      <c r="BU71" s="90"/>
      <c r="BV71" s="90"/>
      <c r="BW71" s="90"/>
      <c r="BX71" s="91"/>
      <c r="BY71" s="90"/>
      <c r="BZ71" s="90"/>
      <c r="CA71" s="90"/>
      <c r="CB71" s="90"/>
      <c r="CC71" s="90"/>
      <c r="CD71" s="90"/>
      <c r="CE71" s="90"/>
      <c r="CF71" s="90"/>
      <c r="CG71" s="90"/>
      <c r="CH71" s="90"/>
      <c r="CI71" s="90"/>
      <c r="CJ71" s="92"/>
      <c r="CK71" s="90"/>
      <c r="CL71" s="93"/>
      <c r="CM71" s="90"/>
      <c r="CN71" s="90"/>
      <c r="CO71" s="90"/>
      <c r="CP71" s="91"/>
      <c r="CQ71" s="84" t="b">
        <f>IF(CW59=31,25)</f>
        <v>0</v>
      </c>
      <c r="CR71" s="94"/>
      <c r="CS71" s="94"/>
      <c r="CT71" s="94"/>
      <c r="CU71" s="94"/>
      <c r="CV71" s="94"/>
      <c r="CW71" s="94"/>
      <c r="CX71" s="94"/>
      <c r="CY71" s="94"/>
      <c r="CZ71" s="94"/>
      <c r="DA71" s="94"/>
      <c r="DB71" s="94"/>
      <c r="DC71" s="86" t="b">
        <f>IF(CW59=31,37)</f>
        <v>0</v>
      </c>
      <c r="DD71" s="62"/>
      <c r="DE71" s="62"/>
      <c r="DF71" s="62"/>
    </row>
    <row r="72" spans="2:110" ht="21" hidden="1" thickBot="1" x14ac:dyDescent="0.25">
      <c r="B72" s="443"/>
      <c r="C72" s="443"/>
      <c r="D72" s="442"/>
      <c r="E72" s="442"/>
      <c r="F72" s="442"/>
      <c r="G72" s="797"/>
      <c r="H72"/>
      <c r="I72"/>
      <c r="J72"/>
      <c r="K72"/>
      <c r="L72"/>
      <c r="M72"/>
      <c r="N72"/>
      <c r="O72" s="794"/>
      <c r="U72" s="444"/>
      <c r="AB72" s="444"/>
      <c r="AC72" s="444"/>
      <c r="AD72" s="444"/>
      <c r="AE72" s="444"/>
      <c r="BD72" s="446"/>
      <c r="BE72" s="446"/>
      <c r="BP72" s="69"/>
      <c r="BR72" s="79">
        <v>30</v>
      </c>
      <c r="BS72" s="90"/>
      <c r="BT72" s="90"/>
      <c r="BU72" s="90"/>
      <c r="BV72" s="90"/>
      <c r="BW72" s="90"/>
      <c r="BX72" s="91"/>
      <c r="BY72" s="90"/>
      <c r="BZ72" s="90"/>
      <c r="CA72" s="90"/>
      <c r="CB72" s="90"/>
      <c r="CC72" s="90"/>
      <c r="CD72" s="90"/>
      <c r="CE72" s="90"/>
      <c r="CF72" s="90"/>
      <c r="CG72" s="90"/>
      <c r="CH72" s="90"/>
      <c r="CI72" s="90"/>
      <c r="CJ72" s="92"/>
      <c r="CK72" s="90"/>
      <c r="CL72" s="93"/>
      <c r="CM72" s="90"/>
      <c r="CN72" s="90"/>
      <c r="CO72" s="84" t="b">
        <f>IF(CV59=30,23)</f>
        <v>0</v>
      </c>
      <c r="CP72" s="95"/>
      <c r="CQ72" s="94"/>
      <c r="CR72" s="94"/>
      <c r="CS72" s="94"/>
      <c r="CT72" s="94"/>
      <c r="CU72" s="94"/>
      <c r="CV72" s="94"/>
      <c r="CW72" s="94"/>
      <c r="CX72" s="94"/>
      <c r="CY72" s="94"/>
      <c r="CZ72" s="94"/>
      <c r="DA72" s="94"/>
      <c r="DB72" s="94"/>
      <c r="DC72" s="86" t="b">
        <f>IF(CV59=30,37)</f>
        <v>0</v>
      </c>
      <c r="DD72" s="62"/>
      <c r="DE72" s="62"/>
      <c r="DF72" s="62"/>
    </row>
    <row r="73" spans="2:110" ht="21" hidden="1" thickBot="1" x14ac:dyDescent="0.25">
      <c r="B73" s="443"/>
      <c r="C73" s="443"/>
      <c r="D73" s="442"/>
      <c r="E73" s="442"/>
      <c r="F73" s="442"/>
      <c r="G73" s="797"/>
      <c r="H73"/>
      <c r="I73"/>
      <c r="J73"/>
      <c r="K73"/>
      <c r="L73"/>
      <c r="M73"/>
      <c r="N73"/>
      <c r="O73" s="794"/>
      <c r="U73" s="444"/>
      <c r="AB73" s="444"/>
      <c r="AC73" s="444"/>
      <c r="AD73" s="444"/>
      <c r="AE73" s="444"/>
      <c r="BD73" s="446"/>
      <c r="BE73" s="446"/>
      <c r="BG73" s="97"/>
      <c r="BH73" s="97"/>
      <c r="BI73" s="97"/>
      <c r="BJ73" s="97"/>
      <c r="BP73" s="69"/>
      <c r="BQ73" s="97"/>
      <c r="BR73" s="79">
        <v>29</v>
      </c>
      <c r="BS73" s="62"/>
      <c r="BT73" s="62"/>
      <c r="BU73" s="62"/>
      <c r="BV73" s="62"/>
      <c r="BW73" s="62"/>
      <c r="BX73" s="62"/>
      <c r="BY73" s="62"/>
      <c r="BZ73" s="62"/>
      <c r="CA73" s="62"/>
      <c r="CB73" s="62"/>
      <c r="CC73" s="62"/>
      <c r="CD73" s="62"/>
      <c r="CE73" s="62"/>
      <c r="CF73" s="62"/>
      <c r="CG73" s="62"/>
      <c r="CH73" s="62"/>
      <c r="CI73" s="62"/>
      <c r="CJ73" s="98"/>
      <c r="CK73" s="62"/>
      <c r="CL73" s="99"/>
      <c r="CM73" s="100" t="b">
        <f>IF(CU59=29,21)</f>
        <v>0</v>
      </c>
      <c r="CN73" s="94"/>
      <c r="CO73" s="94"/>
      <c r="CP73" s="94"/>
      <c r="CQ73" s="94"/>
      <c r="CR73" s="94"/>
      <c r="CS73" s="94"/>
      <c r="CT73" s="101"/>
      <c r="CU73" s="94"/>
      <c r="CV73" s="101"/>
      <c r="CW73" s="102"/>
      <c r="CX73" s="102"/>
      <c r="CY73" s="102"/>
      <c r="CZ73" s="102"/>
      <c r="DA73" s="102"/>
      <c r="DB73" s="102"/>
      <c r="DC73" s="86" t="b">
        <f>IF(CU59=29,37)</f>
        <v>0</v>
      </c>
      <c r="DD73" s="60"/>
      <c r="DE73" s="62"/>
      <c r="DF73" s="62"/>
    </row>
    <row r="74" spans="2:110" ht="21" hidden="1" thickBot="1" x14ac:dyDescent="0.25">
      <c r="B74" s="443"/>
      <c r="C74" s="443"/>
      <c r="D74" s="442"/>
      <c r="E74" s="442"/>
      <c r="F74" s="442"/>
      <c r="G74" s="797"/>
      <c r="H74"/>
      <c r="I74"/>
      <c r="J74"/>
      <c r="K74"/>
      <c r="L74"/>
      <c r="M74"/>
      <c r="N74"/>
      <c r="O74" s="794"/>
      <c r="U74" s="444"/>
      <c r="AB74" s="444"/>
      <c r="AC74" s="444"/>
      <c r="AD74" s="444"/>
      <c r="AE74" s="444"/>
      <c r="BD74" s="446"/>
      <c r="BE74" s="446"/>
      <c r="BG74" s="97"/>
      <c r="BH74" s="97"/>
      <c r="BI74" s="97"/>
      <c r="BJ74" s="97"/>
      <c r="BP74" s="69"/>
      <c r="BQ74" s="97"/>
      <c r="BR74" s="79">
        <v>28</v>
      </c>
      <c r="BS74" s="62"/>
      <c r="BT74" s="62"/>
      <c r="BU74" s="62"/>
      <c r="BV74" s="62"/>
      <c r="BW74" s="62"/>
      <c r="BX74" s="62"/>
      <c r="BY74" s="62"/>
      <c r="BZ74" s="62"/>
      <c r="CA74" s="62"/>
      <c r="CB74" s="62"/>
      <c r="CC74" s="62"/>
      <c r="CD74" s="62"/>
      <c r="CE74" s="62"/>
      <c r="CF74" s="62"/>
      <c r="CG74" s="62"/>
      <c r="CH74" s="62"/>
      <c r="CI74" s="62"/>
      <c r="CJ74" s="98"/>
      <c r="CK74" s="62"/>
      <c r="CL74" s="99"/>
      <c r="CM74" s="103" t="b">
        <f>IF(CT59=28,21)</f>
        <v>0</v>
      </c>
      <c r="CN74" s="104"/>
      <c r="CO74" s="104"/>
      <c r="CP74" s="104"/>
      <c r="CQ74" s="104"/>
      <c r="CR74" s="105"/>
      <c r="CS74" s="104"/>
      <c r="CT74" s="104"/>
      <c r="CU74" s="104"/>
      <c r="CV74" s="105"/>
      <c r="CW74" s="106"/>
      <c r="CX74" s="106"/>
      <c r="CY74" s="106"/>
      <c r="CZ74" s="106"/>
      <c r="DA74" s="107" t="b">
        <f>IF(CT59=28,35)</f>
        <v>0</v>
      </c>
      <c r="DB74" s="60"/>
      <c r="DC74" s="60"/>
      <c r="DD74" s="60"/>
      <c r="DE74" s="62"/>
      <c r="DF74" s="62"/>
    </row>
    <row r="75" spans="2:110" ht="21" hidden="1" thickBot="1" x14ac:dyDescent="0.25">
      <c r="B75" s="443"/>
      <c r="C75" s="443"/>
      <c r="D75" s="442"/>
      <c r="E75" s="442"/>
      <c r="F75" s="442"/>
      <c r="G75" s="797"/>
      <c r="H75"/>
      <c r="I75"/>
      <c r="J75"/>
      <c r="K75"/>
      <c r="L75"/>
      <c r="M75"/>
      <c r="N75"/>
      <c r="O75" s="794"/>
      <c r="U75" s="444"/>
      <c r="AB75" s="444"/>
      <c r="AC75" s="444"/>
      <c r="AD75" s="444"/>
      <c r="AE75" s="444"/>
      <c r="BD75" s="446"/>
      <c r="BE75" s="446"/>
      <c r="BG75" s="97"/>
      <c r="BH75" s="97"/>
      <c r="BI75" s="97"/>
      <c r="BJ75" s="97"/>
      <c r="BP75" s="69"/>
      <c r="BQ75" s="97"/>
      <c r="BR75" s="79">
        <v>27</v>
      </c>
      <c r="BS75" s="62"/>
      <c r="BT75" s="62"/>
      <c r="BU75" s="62"/>
      <c r="BV75" s="62"/>
      <c r="BW75" s="62"/>
      <c r="BX75" s="62"/>
      <c r="BY75" s="62"/>
      <c r="BZ75" s="62"/>
      <c r="CA75" s="62"/>
      <c r="CB75" s="62"/>
      <c r="CC75" s="62"/>
      <c r="CD75" s="62"/>
      <c r="CE75" s="62"/>
      <c r="CF75" s="62"/>
      <c r="CG75" s="62"/>
      <c r="CH75" s="62"/>
      <c r="CI75" s="62"/>
      <c r="CJ75" s="98"/>
      <c r="CK75" s="62"/>
      <c r="CL75" s="99"/>
      <c r="CM75" s="103" t="b">
        <f>IF(CS59=27,21)</f>
        <v>0</v>
      </c>
      <c r="CN75" s="104"/>
      <c r="CO75" s="104"/>
      <c r="CP75" s="105"/>
      <c r="CQ75" s="104"/>
      <c r="CR75" s="104"/>
      <c r="CS75" s="104"/>
      <c r="CT75" s="104"/>
      <c r="CU75" s="104"/>
      <c r="CV75" s="105"/>
      <c r="CW75" s="106"/>
      <c r="CX75" s="106"/>
      <c r="CY75" s="107" t="b">
        <f>IF(CS59=27,33)</f>
        <v>0</v>
      </c>
      <c r="CZ75" s="60"/>
      <c r="DA75" s="60"/>
      <c r="DB75" s="60"/>
      <c r="DC75" s="60"/>
      <c r="DD75" s="60"/>
      <c r="DE75" s="62"/>
      <c r="DF75" s="62"/>
    </row>
    <row r="76" spans="2:110" ht="21" hidden="1" thickBot="1" x14ac:dyDescent="0.25">
      <c r="B76" s="443"/>
      <c r="C76" s="443"/>
      <c r="D76" s="442"/>
      <c r="E76" s="442"/>
      <c r="F76" s="442"/>
      <c r="G76" s="797"/>
      <c r="H76"/>
      <c r="I76"/>
      <c r="J76"/>
      <c r="K76"/>
      <c r="L76"/>
      <c r="M76"/>
      <c r="N76"/>
      <c r="O76" s="794"/>
      <c r="U76" s="444"/>
      <c r="AB76" s="444"/>
      <c r="AC76" s="444"/>
      <c r="AD76" s="444"/>
      <c r="AE76" s="444"/>
      <c r="BD76" s="446"/>
      <c r="BE76" s="446"/>
      <c r="BP76" s="69"/>
      <c r="BR76" s="79">
        <v>26</v>
      </c>
      <c r="BS76" s="62"/>
      <c r="BT76" s="62"/>
      <c r="BU76" s="62"/>
      <c r="BV76" s="62"/>
      <c r="BW76" s="62"/>
      <c r="BX76" s="62"/>
      <c r="BY76" s="62"/>
      <c r="BZ76" s="62"/>
      <c r="CA76" s="62"/>
      <c r="CB76" s="62"/>
      <c r="CC76" s="62"/>
      <c r="CD76" s="62"/>
      <c r="CE76" s="62"/>
      <c r="CF76" s="62"/>
      <c r="CG76" s="62"/>
      <c r="CH76" s="62"/>
      <c r="CI76" s="62"/>
      <c r="CJ76" s="98"/>
      <c r="CK76" s="62"/>
      <c r="CL76" s="99"/>
      <c r="CM76" s="103" t="b">
        <f>IF(CR59=26,21)</f>
        <v>0</v>
      </c>
      <c r="CN76" s="105"/>
      <c r="CO76" s="104"/>
      <c r="CP76" s="104"/>
      <c r="CQ76" s="104"/>
      <c r="CR76" s="104"/>
      <c r="CS76" s="104"/>
      <c r="CT76" s="104"/>
      <c r="CU76" s="104"/>
      <c r="CV76" s="105"/>
      <c r="CW76" s="107" t="b">
        <f>IF(CR59=26,31)</f>
        <v>0</v>
      </c>
      <c r="CX76" s="60"/>
      <c r="CY76" s="60"/>
      <c r="CZ76" s="60"/>
      <c r="DA76" s="60"/>
      <c r="DB76" s="60"/>
      <c r="DC76" s="60"/>
      <c r="DD76" s="60"/>
      <c r="DE76" s="62"/>
      <c r="DF76" s="62"/>
    </row>
    <row r="77" spans="2:110" ht="21" hidden="1" thickBot="1" x14ac:dyDescent="0.25">
      <c r="B77" s="443"/>
      <c r="C77" s="443"/>
      <c r="D77" s="442"/>
      <c r="E77" s="442"/>
      <c r="F77" s="442"/>
      <c r="G77" s="797"/>
      <c r="H77"/>
      <c r="I77"/>
      <c r="J77"/>
      <c r="K77"/>
      <c r="L77"/>
      <c r="M77"/>
      <c r="N77"/>
      <c r="O77" s="794"/>
      <c r="U77" s="444"/>
      <c r="AB77" s="444"/>
      <c r="AC77" s="444"/>
      <c r="AD77" s="444"/>
      <c r="AE77" s="444"/>
      <c r="BD77" s="446"/>
      <c r="BE77" s="446"/>
      <c r="BG77" s="109"/>
      <c r="BH77" s="109"/>
      <c r="BI77" s="109"/>
      <c r="BJ77" s="109"/>
      <c r="BP77" s="69"/>
      <c r="BQ77" s="109"/>
      <c r="BR77" s="79">
        <v>25</v>
      </c>
      <c r="BS77" s="62"/>
      <c r="BT77" s="62"/>
      <c r="BU77" s="62"/>
      <c r="BV77" s="62"/>
      <c r="BW77" s="62"/>
      <c r="BX77" s="62"/>
      <c r="BY77" s="62"/>
      <c r="BZ77" s="62"/>
      <c r="CA77" s="62"/>
      <c r="CB77" s="62"/>
      <c r="CC77" s="62"/>
      <c r="CE77" s="62"/>
      <c r="CF77" s="62"/>
      <c r="CG77" s="62"/>
      <c r="CH77" s="62"/>
      <c r="CI77" s="62"/>
      <c r="CJ77" s="98"/>
      <c r="CK77" s="62"/>
      <c r="CM77" s="111" t="b">
        <f>IF(CQ59=25,21)</f>
        <v>0</v>
      </c>
      <c r="CN77" s="104"/>
      <c r="CO77" s="104"/>
      <c r="CP77" s="104"/>
      <c r="CQ77" s="104"/>
      <c r="CR77" s="104"/>
      <c r="CS77" s="104"/>
      <c r="CT77" s="104"/>
      <c r="CU77" s="107" t="b">
        <f>IF(CQ59=25,29)</f>
        <v>0</v>
      </c>
      <c r="CW77" s="60"/>
      <c r="CX77" s="60"/>
      <c r="CY77" s="60"/>
      <c r="CZ77" s="60"/>
      <c r="DA77" s="60"/>
      <c r="DB77" s="60"/>
      <c r="DC77" s="60"/>
      <c r="DD77" s="60"/>
      <c r="DE77" s="62"/>
      <c r="DF77" s="62"/>
    </row>
    <row r="78" spans="2:110" ht="21" hidden="1" thickBot="1" x14ac:dyDescent="0.25">
      <c r="B78" s="443"/>
      <c r="C78" s="443"/>
      <c r="D78" s="442"/>
      <c r="E78" s="442"/>
      <c r="F78" s="442"/>
      <c r="G78" s="797"/>
      <c r="H78"/>
      <c r="I78"/>
      <c r="J78"/>
      <c r="K78"/>
      <c r="L78"/>
      <c r="M78"/>
      <c r="N78"/>
      <c r="O78" s="794"/>
      <c r="U78" s="444"/>
      <c r="AB78" s="444"/>
      <c r="AC78" s="444"/>
      <c r="AD78" s="444"/>
      <c r="AE78" s="444"/>
      <c r="BD78" s="446"/>
      <c r="BE78" s="446"/>
      <c r="BG78" s="109"/>
      <c r="BH78" s="109"/>
      <c r="BI78" s="109"/>
      <c r="BJ78" s="109"/>
      <c r="BP78" s="69"/>
      <c r="BQ78" s="109"/>
      <c r="BR78" s="79">
        <v>24</v>
      </c>
      <c r="BS78" s="62"/>
      <c r="BT78" s="62"/>
      <c r="BU78" s="62"/>
      <c r="BV78" s="62"/>
      <c r="BW78" s="62"/>
      <c r="BX78" s="62"/>
      <c r="BY78" s="62"/>
      <c r="BZ78" s="62"/>
      <c r="CA78" s="62"/>
      <c r="CB78" s="62"/>
      <c r="CC78" s="62"/>
      <c r="CD78" s="100" t="b">
        <f>IF(CP59=24,12)</f>
        <v>0</v>
      </c>
      <c r="CE78" s="94"/>
      <c r="CF78" s="94"/>
      <c r="CG78" s="94"/>
      <c r="CH78" s="94"/>
      <c r="CI78" s="94"/>
      <c r="CJ78" s="101"/>
      <c r="CK78" s="94"/>
      <c r="CL78" s="112"/>
      <c r="CM78" s="94"/>
      <c r="CN78" s="94"/>
      <c r="CO78" s="94"/>
      <c r="CP78" s="94"/>
      <c r="CQ78" s="94"/>
      <c r="CR78" s="94"/>
      <c r="CS78" s="94"/>
      <c r="CT78" s="94"/>
      <c r="CU78" s="94"/>
      <c r="CV78" s="101"/>
      <c r="CW78" s="102"/>
      <c r="CX78" s="102"/>
      <c r="CY78" s="102"/>
      <c r="CZ78" s="102"/>
      <c r="DA78" s="102"/>
      <c r="DB78" s="86" t="b">
        <f>IF(CP59=24,36)</f>
        <v>0</v>
      </c>
      <c r="DC78" s="60"/>
      <c r="DD78" s="60"/>
      <c r="DE78" s="62"/>
      <c r="DF78" s="62"/>
    </row>
    <row r="79" spans="2:110" ht="21" hidden="1" thickBot="1" x14ac:dyDescent="0.25">
      <c r="B79" s="465"/>
      <c r="C79" s="443"/>
      <c r="D79" s="442"/>
      <c r="E79" s="442"/>
      <c r="F79" s="442"/>
      <c r="G79" s="797"/>
      <c r="H79"/>
      <c r="I79"/>
      <c r="J79"/>
      <c r="K79"/>
      <c r="L79"/>
      <c r="M79"/>
      <c r="N79"/>
      <c r="O79" s="794"/>
      <c r="U79" s="444"/>
      <c r="AB79" s="444"/>
      <c r="AC79" s="444"/>
      <c r="AD79" s="444"/>
      <c r="AE79" s="444"/>
      <c r="BD79" s="446"/>
      <c r="BE79" s="446"/>
      <c r="BG79" s="109"/>
      <c r="BH79" s="109"/>
      <c r="BI79" s="109"/>
      <c r="BJ79" s="109"/>
      <c r="BP79" s="69"/>
      <c r="BQ79" s="109"/>
      <c r="BR79" s="79">
        <v>23</v>
      </c>
      <c r="BS79" s="62"/>
      <c r="BT79" s="62"/>
      <c r="BU79" s="62"/>
      <c r="BV79" s="62"/>
      <c r="BW79" s="62"/>
      <c r="BX79" s="62"/>
      <c r="BY79" s="62"/>
      <c r="BZ79" s="62"/>
      <c r="CA79" s="62"/>
      <c r="CB79" s="62"/>
      <c r="CC79" s="62"/>
      <c r="CD79" s="103" t="b">
        <f>IF(CO59=23,12)</f>
        <v>0</v>
      </c>
      <c r="CE79" s="104"/>
      <c r="CF79" s="104"/>
      <c r="CG79" s="104"/>
      <c r="CH79" s="105"/>
      <c r="CI79" s="104"/>
      <c r="CJ79" s="115"/>
      <c r="CK79" s="104"/>
      <c r="CL79" s="116"/>
      <c r="CM79" s="104"/>
      <c r="CN79" s="104"/>
      <c r="CO79" s="104"/>
      <c r="CP79" s="104"/>
      <c r="CQ79" s="104"/>
      <c r="CR79" s="104"/>
      <c r="CS79" s="104"/>
      <c r="CT79" s="104"/>
      <c r="CU79" s="104"/>
      <c r="CV79" s="105"/>
      <c r="CW79" s="106"/>
      <c r="CX79" s="106"/>
      <c r="CY79" s="106"/>
      <c r="CZ79" s="107" t="b">
        <f>IF(CO59=23,34)</f>
        <v>0</v>
      </c>
      <c r="DA79" s="60"/>
      <c r="DB79" s="60"/>
      <c r="DC79" s="60"/>
      <c r="DD79" s="60"/>
      <c r="DE79" s="62"/>
      <c r="DF79" s="62"/>
    </row>
    <row r="80" spans="2:110" ht="21" hidden="1" thickBot="1" x14ac:dyDescent="0.25">
      <c r="B80" s="462"/>
      <c r="C80" s="443"/>
      <c r="D80" s="466"/>
      <c r="E80" s="466"/>
      <c r="F80" s="442"/>
      <c r="G80" s="797"/>
      <c r="H80"/>
      <c r="I80"/>
      <c r="J80"/>
      <c r="K80"/>
      <c r="L80"/>
      <c r="M80"/>
      <c r="N80"/>
      <c r="O80" s="794"/>
      <c r="U80" s="444"/>
      <c r="AB80" s="444"/>
      <c r="AC80" s="444"/>
      <c r="AD80" s="444"/>
      <c r="AE80" s="444"/>
      <c r="BD80" s="446"/>
      <c r="BE80" s="446"/>
      <c r="BG80" s="109"/>
      <c r="BH80" s="109"/>
      <c r="BI80" s="109"/>
      <c r="BJ80" s="109"/>
      <c r="BP80" s="69"/>
      <c r="BQ80" s="109"/>
      <c r="BR80" s="79">
        <v>22</v>
      </c>
      <c r="BS80" s="60"/>
      <c r="BT80" s="60"/>
      <c r="BU80" s="60"/>
      <c r="BV80" s="60"/>
      <c r="BW80" s="60"/>
      <c r="BX80" s="60"/>
      <c r="BY80" s="60"/>
      <c r="BZ80" s="60"/>
      <c r="CA80" s="60"/>
      <c r="CB80" s="60"/>
      <c r="CC80" s="60"/>
      <c r="CD80" s="103" t="b">
        <f>IF(CN59=22,12)</f>
        <v>0</v>
      </c>
      <c r="CE80" s="106"/>
      <c r="CF80" s="106"/>
      <c r="CG80" s="106"/>
      <c r="CH80" s="105"/>
      <c r="CI80" s="106"/>
      <c r="CJ80" s="117"/>
      <c r="CK80" s="106"/>
      <c r="CL80" s="118"/>
      <c r="CM80" s="106"/>
      <c r="CN80" s="106"/>
      <c r="CO80" s="106"/>
      <c r="CP80" s="106"/>
      <c r="CQ80" s="104"/>
      <c r="CR80" s="104"/>
      <c r="CS80" s="105"/>
      <c r="CT80" s="104"/>
      <c r="CU80" s="104"/>
      <c r="CV80" s="104"/>
      <c r="CW80" s="104"/>
      <c r="CX80" s="107" t="b">
        <f>IF(CN59=22,32)</f>
        <v>0</v>
      </c>
      <c r="CY80" s="62"/>
      <c r="CZ80" s="62"/>
      <c r="DA80" s="62"/>
      <c r="DB80" s="62"/>
      <c r="DC80" s="62"/>
      <c r="DD80" s="62"/>
      <c r="DE80" s="62"/>
      <c r="DF80" s="62"/>
    </row>
    <row r="81" spans="2:110" ht="21" hidden="1" thickBot="1" x14ac:dyDescent="0.25">
      <c r="B81" s="443"/>
      <c r="C81" s="443"/>
      <c r="D81" s="442"/>
      <c r="E81" s="442"/>
      <c r="F81" s="442"/>
      <c r="G81" s="807"/>
      <c r="H81"/>
      <c r="I81"/>
      <c r="J81"/>
      <c r="K81"/>
      <c r="L81"/>
      <c r="M81"/>
      <c r="N81"/>
      <c r="O81" s="794"/>
      <c r="U81" s="444"/>
      <c r="AB81" s="444"/>
      <c r="AC81" s="444"/>
      <c r="AD81" s="444"/>
      <c r="AE81" s="444"/>
      <c r="BD81" s="446"/>
      <c r="BE81" s="446"/>
      <c r="BG81" s="109"/>
      <c r="BH81" s="109"/>
      <c r="BI81" s="109"/>
      <c r="BJ81" s="109"/>
      <c r="BP81" s="69"/>
      <c r="BQ81" s="109"/>
      <c r="BR81" s="79">
        <v>21</v>
      </c>
      <c r="BS81" s="62"/>
      <c r="BT81" s="62"/>
      <c r="BU81" s="62"/>
      <c r="BV81" s="62"/>
      <c r="BW81" s="62"/>
      <c r="BX81" s="62"/>
      <c r="BY81" s="62"/>
      <c r="BZ81" s="62"/>
      <c r="CA81" s="62"/>
      <c r="CB81" s="62"/>
      <c r="CC81" s="62"/>
      <c r="CD81" s="103" t="b">
        <f>IF(CM59=21,12)</f>
        <v>0</v>
      </c>
      <c r="CE81" s="104"/>
      <c r="CF81" s="104"/>
      <c r="CG81" s="104"/>
      <c r="CH81" s="104"/>
      <c r="CI81" s="104"/>
      <c r="CJ81" s="115"/>
      <c r="CK81" s="104"/>
      <c r="CL81" s="116"/>
      <c r="CM81" s="104"/>
      <c r="CN81" s="104"/>
      <c r="CO81" s="104"/>
      <c r="CP81" s="104"/>
      <c r="CQ81" s="104"/>
      <c r="CR81" s="104"/>
      <c r="CS81" s="104"/>
      <c r="CT81" s="104"/>
      <c r="CU81" s="104"/>
      <c r="CV81" s="107" t="b">
        <f>IF(CM59=21,30)</f>
        <v>0</v>
      </c>
      <c r="CW81" s="60"/>
      <c r="CX81" s="60"/>
      <c r="CY81" s="60"/>
      <c r="CZ81" s="60"/>
      <c r="DA81" s="60"/>
      <c r="DB81" s="60"/>
      <c r="DC81" s="60"/>
      <c r="DD81" s="60"/>
      <c r="DE81" s="62"/>
      <c r="DF81" s="62"/>
    </row>
    <row r="82" spans="2:110" ht="21" hidden="1" thickBot="1" x14ac:dyDescent="0.25">
      <c r="B82" s="443"/>
      <c r="C82" s="443"/>
      <c r="D82" s="442"/>
      <c r="E82" s="442"/>
      <c r="F82" s="442"/>
      <c r="G82" s="797"/>
      <c r="H82"/>
      <c r="I82"/>
      <c r="J82"/>
      <c r="K82"/>
      <c r="L82"/>
      <c r="M82"/>
      <c r="N82"/>
      <c r="O82" s="794"/>
      <c r="U82" s="444"/>
      <c r="AB82" s="444"/>
      <c r="AC82" s="444"/>
      <c r="AD82" s="444"/>
      <c r="AE82" s="444"/>
      <c r="BD82" s="446"/>
      <c r="BE82" s="446"/>
      <c r="BG82" s="119"/>
      <c r="BH82" s="119"/>
      <c r="BI82" s="119"/>
      <c r="BJ82" s="119"/>
      <c r="BP82" s="69"/>
      <c r="BQ82" s="863"/>
      <c r="BR82" s="79">
        <v>20</v>
      </c>
      <c r="BS82" s="62"/>
      <c r="BT82" s="62"/>
      <c r="BU82" s="62"/>
      <c r="BV82" s="62"/>
      <c r="BW82" s="62"/>
      <c r="BX82" s="62"/>
      <c r="BY82" s="62"/>
      <c r="BZ82" s="62"/>
      <c r="CC82" s="120"/>
      <c r="CD82" s="100" t="b">
        <f>IF(CL59=20,12)</f>
        <v>0</v>
      </c>
      <c r="CE82" s="94"/>
      <c r="CF82" s="94"/>
      <c r="CG82" s="94"/>
      <c r="CH82" s="94"/>
      <c r="CI82" s="94"/>
      <c r="CJ82" s="121"/>
      <c r="CK82" s="94"/>
      <c r="CL82" s="112"/>
      <c r="CM82" s="94"/>
      <c r="CN82" s="94"/>
      <c r="CO82" s="94"/>
      <c r="CP82" s="94"/>
      <c r="CQ82" s="94"/>
      <c r="CR82" s="94"/>
      <c r="CS82" s="94"/>
      <c r="CT82" s="86" t="b">
        <f>IF(CL59=20,28)</f>
        <v>0</v>
      </c>
      <c r="CU82" s="120"/>
      <c r="CW82" s="60"/>
      <c r="CX82" s="60"/>
      <c r="CY82" s="60"/>
      <c r="CZ82" s="60"/>
      <c r="DA82" s="60"/>
      <c r="DB82" s="60"/>
      <c r="DC82" s="60"/>
      <c r="DD82" s="60"/>
      <c r="DE82" s="62"/>
      <c r="DF82" s="62"/>
    </row>
    <row r="83" spans="2:110" ht="21" hidden="1" thickBot="1" x14ac:dyDescent="0.25">
      <c r="B83" s="467"/>
      <c r="C83" s="468"/>
      <c r="D83" s="469"/>
      <c r="E83" s="467"/>
      <c r="F83" s="442"/>
      <c r="G83" s="797"/>
      <c r="H83"/>
      <c r="I83"/>
      <c r="J83"/>
      <c r="K83"/>
      <c r="L83"/>
      <c r="M83"/>
      <c r="N83"/>
      <c r="O83" s="794"/>
      <c r="U83" s="444"/>
      <c r="AB83" s="444"/>
      <c r="AC83" s="444"/>
      <c r="AD83" s="444"/>
      <c r="AE83" s="444"/>
      <c r="BD83" s="446"/>
      <c r="BE83" s="446"/>
      <c r="BG83" s="119"/>
      <c r="BH83" s="119"/>
      <c r="BI83" s="119"/>
      <c r="BJ83" s="119"/>
      <c r="BP83" s="69"/>
      <c r="BQ83" s="863"/>
      <c r="BR83" s="79">
        <v>19</v>
      </c>
      <c r="BS83" s="62"/>
      <c r="BT83" s="62"/>
      <c r="BU83" s="62"/>
      <c r="BV83" s="62"/>
      <c r="BW83" s="62"/>
      <c r="BX83" s="62"/>
      <c r="BY83" s="62"/>
      <c r="BZ83" s="62"/>
      <c r="CB83" s="122"/>
      <c r="CC83" s="122"/>
      <c r="CD83" s="100" t="b">
        <f>IF(CK59=19,12)</f>
        <v>0</v>
      </c>
      <c r="CE83" s="102"/>
      <c r="CF83" s="102"/>
      <c r="CG83" s="101"/>
      <c r="CH83" s="102"/>
      <c r="CI83" s="102"/>
      <c r="CJ83" s="123"/>
      <c r="CK83" s="102"/>
      <c r="CL83" s="124"/>
      <c r="CM83" s="101"/>
      <c r="CN83" s="102"/>
      <c r="CO83" s="102"/>
      <c r="CP83" s="102"/>
      <c r="CQ83" s="94"/>
      <c r="CR83" s="86" t="b">
        <f>IF(CK59=19,26)</f>
        <v>0</v>
      </c>
      <c r="CS83" s="125"/>
      <c r="CT83" s="120"/>
      <c r="CV83" s="62"/>
      <c r="CW83" s="62"/>
      <c r="CX83" s="62"/>
      <c r="CY83" s="62"/>
      <c r="CZ83" s="62"/>
      <c r="DA83" s="62"/>
      <c r="DB83" s="62"/>
      <c r="DC83" s="62"/>
      <c r="DD83" s="62"/>
      <c r="DE83" s="62"/>
      <c r="DF83" s="62"/>
    </row>
    <row r="84" spans="2:110" ht="21" hidden="1" thickBot="1" x14ac:dyDescent="0.25">
      <c r="F84" s="442"/>
      <c r="G84" s="797"/>
      <c r="H84"/>
      <c r="I84"/>
      <c r="J84"/>
      <c r="K84"/>
      <c r="L84"/>
      <c r="M84"/>
      <c r="N84"/>
      <c r="O84" s="794"/>
      <c r="U84" s="444"/>
      <c r="AB84" s="444"/>
      <c r="AC84" s="444"/>
      <c r="AD84" s="444"/>
      <c r="AE84" s="444"/>
      <c r="BD84" s="446"/>
      <c r="BE84" s="446"/>
      <c r="BG84" s="119"/>
      <c r="BH84" s="119"/>
      <c r="BI84" s="119"/>
      <c r="BJ84" s="119"/>
      <c r="BP84" s="69"/>
      <c r="BQ84" s="863"/>
      <c r="BR84" s="79">
        <v>18</v>
      </c>
      <c r="BS84" s="60"/>
      <c r="BT84" s="60"/>
      <c r="BU84" s="60"/>
      <c r="BV84" s="60"/>
      <c r="BW84" s="60"/>
      <c r="BX84" s="60"/>
      <c r="BY84" s="60"/>
      <c r="BZ84" s="60"/>
      <c r="CB84" s="100" t="b">
        <f>IF(CJ59=18,10)</f>
        <v>0</v>
      </c>
      <c r="CC84" s="102"/>
      <c r="CD84" s="102"/>
      <c r="CE84" s="102"/>
      <c r="CF84" s="102"/>
      <c r="CG84" s="101"/>
      <c r="CH84" s="102"/>
      <c r="CI84" s="102"/>
      <c r="CJ84" s="123"/>
      <c r="CK84" s="102"/>
      <c r="CL84" s="124"/>
      <c r="CM84" s="101"/>
      <c r="CN84" s="102"/>
      <c r="CO84" s="102"/>
      <c r="CP84" s="102"/>
      <c r="CQ84" s="94"/>
      <c r="CR84" s="86" t="b">
        <f>IF(CJ59=18,26)</f>
        <v>0</v>
      </c>
      <c r="CT84" s="62"/>
      <c r="CU84" s="62"/>
      <c r="CV84" s="62"/>
      <c r="CW84" s="62"/>
      <c r="CX84" s="62"/>
      <c r="CY84" s="62"/>
      <c r="CZ84" s="62"/>
      <c r="DA84" s="62"/>
      <c r="DB84" s="62"/>
      <c r="DC84" s="62"/>
      <c r="DD84" s="62"/>
      <c r="DE84" s="62"/>
      <c r="DF84" s="62"/>
    </row>
    <row r="85" spans="2:110" ht="21" hidden="1" thickBot="1" x14ac:dyDescent="0.25">
      <c r="F85" s="442"/>
      <c r="G85" s="797"/>
      <c r="H85"/>
      <c r="I85"/>
      <c r="J85"/>
      <c r="K85" s="787">
        <v>5</v>
      </c>
      <c r="L85"/>
      <c r="M85" s="787">
        <v>51</v>
      </c>
      <c r="N85"/>
      <c r="O85" s="794"/>
      <c r="U85" s="444"/>
      <c r="AB85" s="444"/>
      <c r="AC85" s="444"/>
      <c r="AD85" s="444"/>
      <c r="AE85" s="444"/>
      <c r="BD85" s="446"/>
      <c r="BE85" s="446"/>
      <c r="BG85" s="119"/>
      <c r="BH85" s="119"/>
      <c r="BI85" s="119"/>
      <c r="BJ85" s="119"/>
      <c r="BP85" s="69"/>
      <c r="BQ85" s="863"/>
      <c r="BR85" s="79">
        <v>17</v>
      </c>
      <c r="BS85" s="60"/>
      <c r="BT85" s="60"/>
      <c r="BU85" s="60"/>
      <c r="BV85" s="60"/>
      <c r="BW85" s="60"/>
      <c r="BX85" s="60"/>
      <c r="BY85" s="60"/>
      <c r="BZ85" s="100">
        <f>IF(CI59=17,8)</f>
        <v>8</v>
      </c>
      <c r="CA85" s="101"/>
      <c r="CB85" s="101"/>
      <c r="CC85" s="102"/>
      <c r="CD85" s="102"/>
      <c r="CE85" s="102"/>
      <c r="CF85" s="102"/>
      <c r="CG85" s="102"/>
      <c r="CH85" s="102"/>
      <c r="CI85" s="102"/>
      <c r="CJ85" s="123"/>
      <c r="CK85" s="102"/>
      <c r="CL85" s="124"/>
      <c r="CM85" s="102"/>
      <c r="CN85" s="102"/>
      <c r="CO85" s="102"/>
      <c r="CP85" s="101"/>
      <c r="CQ85" s="101"/>
      <c r="CR85" s="86">
        <f>IF(CI59=17,26)</f>
        <v>26</v>
      </c>
      <c r="CS85" s="62"/>
      <c r="CT85" s="62"/>
      <c r="CU85" s="62"/>
      <c r="CV85" s="62"/>
      <c r="CW85" s="62"/>
      <c r="CX85" s="62"/>
      <c r="CY85" s="62"/>
      <c r="CZ85" s="62"/>
      <c r="DA85" s="62"/>
      <c r="DB85" s="62"/>
      <c r="DC85" s="62"/>
      <c r="DD85" s="62"/>
      <c r="DE85" s="62"/>
      <c r="DF85" s="62"/>
    </row>
    <row r="86" spans="2:110" ht="50.25" hidden="1" customHeight="1" thickBot="1" x14ac:dyDescent="0.25">
      <c r="B86" s="52"/>
      <c r="C86" s="443"/>
      <c r="E86" s="52"/>
      <c r="F86" s="442"/>
      <c r="G86" s="797"/>
      <c r="H86"/>
      <c r="I86"/>
      <c r="J86"/>
      <c r="K86" s="768" t="s">
        <v>181</v>
      </c>
      <c r="L86" s="768" t="s">
        <v>183</v>
      </c>
      <c r="M86" s="768" t="s">
        <v>182</v>
      </c>
      <c r="N86"/>
      <c r="O86" s="794"/>
      <c r="U86" s="444"/>
      <c r="AB86" s="444"/>
      <c r="AC86" s="444"/>
      <c r="AD86" s="444"/>
      <c r="AE86" s="444"/>
      <c r="BD86" s="446"/>
      <c r="BE86" s="446"/>
      <c r="BG86" s="119"/>
      <c r="BH86" s="119"/>
      <c r="BI86" s="119"/>
      <c r="BJ86" s="119"/>
      <c r="BP86" s="69"/>
      <c r="BQ86" s="863"/>
      <c r="BR86" s="79">
        <v>16</v>
      </c>
      <c r="BS86" s="60"/>
      <c r="BT86" s="60"/>
      <c r="BU86" s="60"/>
      <c r="BV86" s="60"/>
      <c r="BW86" s="60"/>
      <c r="BX86" s="128" t="b">
        <f>IF(CH59=16,6)</f>
        <v>0</v>
      </c>
      <c r="BY86" s="129"/>
      <c r="BZ86" s="130"/>
      <c r="CA86" s="130"/>
      <c r="CB86" s="129"/>
      <c r="CC86" s="129"/>
      <c r="CD86" s="129"/>
      <c r="CE86" s="129"/>
      <c r="CF86" s="129"/>
      <c r="CG86" s="129"/>
      <c r="CH86" s="129"/>
      <c r="CI86" s="129"/>
      <c r="CJ86" s="131"/>
      <c r="CK86" s="129"/>
      <c r="CL86" s="132"/>
      <c r="CM86" s="129"/>
      <c r="CN86" s="129"/>
      <c r="CO86" s="130"/>
      <c r="CP86" s="130"/>
      <c r="CQ86" s="133"/>
      <c r="CR86" s="134" t="b">
        <f>IF(CH59=16,26)</f>
        <v>0</v>
      </c>
      <c r="CS86" s="62"/>
      <c r="CT86" s="62"/>
      <c r="CU86" s="62"/>
      <c r="CV86" s="62"/>
      <c r="CW86" s="62"/>
      <c r="CX86" s="62"/>
      <c r="CY86" s="62"/>
      <c r="CZ86" s="62"/>
      <c r="DA86" s="62"/>
      <c r="DB86" s="62"/>
      <c r="DC86" s="62"/>
      <c r="DD86" s="62"/>
      <c r="DE86" s="62"/>
      <c r="DF86" s="62"/>
    </row>
    <row r="87" spans="2:110" ht="50.25" hidden="1" customHeight="1" thickBot="1" x14ac:dyDescent="0.3">
      <c r="D87" s="470"/>
      <c r="F87" s="442"/>
      <c r="G87" s="797"/>
      <c r="H87"/>
      <c r="I87"/>
      <c r="J87" s="861" t="s">
        <v>209</v>
      </c>
      <c r="K87" s="854">
        <f>+MIN(J21:K22)</f>
        <v>65.520065520065529</v>
      </c>
      <c r="L87" s="855">
        <f>+$F$15/(BS27)</f>
        <v>65.520065520065529</v>
      </c>
      <c r="M87" s="855">
        <f>+MIN(K27:L28)</f>
        <v>65.520065520065529</v>
      </c>
      <c r="N87"/>
      <c r="O87" s="794"/>
      <c r="U87" s="444"/>
      <c r="AB87" s="444"/>
      <c r="AC87" s="444"/>
      <c r="AD87" s="444"/>
      <c r="AE87" s="444"/>
      <c r="BD87" s="446"/>
      <c r="BE87" s="446"/>
      <c r="BG87" s="119"/>
      <c r="BH87" s="119"/>
      <c r="BI87" s="119"/>
      <c r="BJ87" s="119"/>
      <c r="BP87" s="69"/>
      <c r="BQ87" s="863"/>
      <c r="BR87" s="79">
        <v>15</v>
      </c>
      <c r="BS87" s="60"/>
      <c r="BT87" s="60"/>
      <c r="BU87" s="60"/>
      <c r="BV87" s="100" t="b">
        <f>IF(CG59=15,4)</f>
        <v>0</v>
      </c>
      <c r="BW87" s="102"/>
      <c r="BX87" s="102"/>
      <c r="BY87" s="102"/>
      <c r="BZ87" s="101"/>
      <c r="CA87" s="102"/>
      <c r="CB87" s="102"/>
      <c r="CC87" s="101"/>
      <c r="CD87" s="102"/>
      <c r="CE87" s="102"/>
      <c r="CF87" s="102"/>
      <c r="CG87" s="102"/>
      <c r="CH87" s="102"/>
      <c r="CI87" s="102"/>
      <c r="CJ87" s="123"/>
      <c r="CK87" s="101"/>
      <c r="CL87" s="124"/>
      <c r="CM87" s="102"/>
      <c r="CN87" s="101"/>
      <c r="CO87" s="102"/>
      <c r="CP87" s="102"/>
      <c r="CQ87" s="94"/>
      <c r="CR87" s="86" t="b">
        <f>IF(CG59=15,26)</f>
        <v>0</v>
      </c>
      <c r="CS87" s="62"/>
      <c r="CT87" s="62"/>
      <c r="CU87" s="62"/>
      <c r="CV87" s="62"/>
      <c r="CW87" s="62"/>
      <c r="CX87" s="62"/>
      <c r="CY87" s="62"/>
      <c r="CZ87" s="62"/>
      <c r="DA87" s="62"/>
      <c r="DB87" s="62"/>
      <c r="DC87" s="62"/>
      <c r="DD87" s="62"/>
      <c r="DE87" s="62"/>
      <c r="DF87" s="62"/>
    </row>
    <row r="88" spans="2:110" ht="21" hidden="1" thickBot="1" x14ac:dyDescent="0.25">
      <c r="D88" s="470"/>
      <c r="F88" s="442"/>
      <c r="G88" s="797"/>
      <c r="H88"/>
      <c r="I88" s="783">
        <v>6</v>
      </c>
      <c r="J88" s="783">
        <v>61</v>
      </c>
      <c r="K88" s="783">
        <v>62</v>
      </c>
      <c r="L88" s="783">
        <v>63</v>
      </c>
      <c r="M88" s="787">
        <v>64</v>
      </c>
      <c r="N88"/>
      <c r="O88" s="794"/>
      <c r="U88" s="444"/>
      <c r="AB88" s="444"/>
      <c r="AC88" s="444"/>
      <c r="AD88" s="444"/>
      <c r="AE88" s="444"/>
      <c r="BD88" s="446"/>
      <c r="BE88" s="446"/>
      <c r="BG88" s="119"/>
      <c r="BH88" s="119"/>
      <c r="BI88" s="119"/>
      <c r="BJ88" s="119"/>
      <c r="BP88" s="69"/>
      <c r="BQ88" s="863"/>
      <c r="BR88" s="79">
        <v>14</v>
      </c>
      <c r="BS88" s="60"/>
      <c r="BT88" s="100" t="b">
        <f>IF(CF59=14,2)</f>
        <v>0</v>
      </c>
      <c r="BU88" s="102"/>
      <c r="BV88" s="102"/>
      <c r="BW88" s="102"/>
      <c r="BX88" s="101"/>
      <c r="BY88" s="102"/>
      <c r="BZ88" s="102"/>
      <c r="CA88" s="101"/>
      <c r="CB88" s="102"/>
      <c r="CC88" s="102"/>
      <c r="CD88" s="102"/>
      <c r="CE88" s="102"/>
      <c r="CF88" s="102"/>
      <c r="CG88" s="102"/>
      <c r="CH88" s="102"/>
      <c r="CI88" s="102"/>
      <c r="CJ88" s="123"/>
      <c r="CK88" s="101"/>
      <c r="CL88" s="124"/>
      <c r="CM88" s="102"/>
      <c r="CN88" s="101"/>
      <c r="CO88" s="102"/>
      <c r="CP88" s="102"/>
      <c r="CQ88" s="94"/>
      <c r="CR88" s="86" t="b">
        <f>IF(CF59=14,26)</f>
        <v>0</v>
      </c>
      <c r="CS88" s="62"/>
      <c r="CT88" s="62"/>
      <c r="CU88" s="62"/>
      <c r="CV88" s="62"/>
      <c r="CW88" s="62"/>
      <c r="CX88" s="62"/>
      <c r="CY88" s="62"/>
      <c r="CZ88" s="62"/>
      <c r="DA88" s="62"/>
      <c r="DB88" s="62"/>
      <c r="DC88" s="62"/>
      <c r="DD88" s="62"/>
      <c r="DE88" s="62"/>
      <c r="DF88" s="62"/>
    </row>
    <row r="89" spans="2:110" ht="21" hidden="1" thickBot="1" x14ac:dyDescent="0.25">
      <c r="B89" s="471"/>
      <c r="C89" s="471"/>
      <c r="D89" s="471"/>
      <c r="E89" s="471"/>
      <c r="F89" s="442"/>
      <c r="G89" s="797"/>
      <c r="H89"/>
      <c r="I89"/>
      <c r="J89"/>
      <c r="K89"/>
      <c r="L89"/>
      <c r="M89"/>
      <c r="N89"/>
      <c r="O89" s="794"/>
      <c r="U89" s="444"/>
      <c r="AB89" s="444"/>
      <c r="AC89" s="444"/>
      <c r="AD89" s="444"/>
      <c r="AE89" s="444"/>
      <c r="BD89" s="446"/>
      <c r="BE89" s="446"/>
      <c r="BG89" s="119"/>
      <c r="BH89" s="119"/>
      <c r="BI89" s="119"/>
      <c r="BJ89" s="119"/>
      <c r="BP89" s="69"/>
      <c r="BQ89" s="863"/>
      <c r="BR89" s="79">
        <v>13</v>
      </c>
      <c r="BS89" s="60"/>
      <c r="BT89" s="60"/>
      <c r="BU89" s="60"/>
      <c r="BW89" s="135"/>
      <c r="BX89" s="135"/>
      <c r="BY89" s="74"/>
      <c r="BZ89" s="135"/>
      <c r="CA89" s="103" t="b">
        <f>IF(CE59=13,9)</f>
        <v>0</v>
      </c>
      <c r="CB89" s="106"/>
      <c r="CC89" s="106"/>
      <c r="CD89" s="106"/>
      <c r="CE89" s="106"/>
      <c r="CF89" s="106"/>
      <c r="CG89" s="106"/>
      <c r="CH89" s="106"/>
      <c r="CI89" s="107" t="b">
        <f>IF(CE59=13,17)</f>
        <v>0</v>
      </c>
      <c r="CJ89" s="136"/>
      <c r="CK89" s="74"/>
      <c r="CL89" s="137"/>
      <c r="CM89" s="135"/>
      <c r="CO89" s="60"/>
      <c r="CP89" s="60"/>
      <c r="CQ89" s="62"/>
      <c r="CR89" s="62"/>
      <c r="CS89" s="62"/>
      <c r="CT89" s="62"/>
      <c r="CU89" s="62"/>
      <c r="CV89" s="62"/>
      <c r="CW89" s="62"/>
      <c r="CX89" s="62"/>
      <c r="CY89" s="62"/>
      <c r="CZ89" s="62"/>
      <c r="DA89" s="62"/>
      <c r="DB89" s="62"/>
      <c r="DC89" s="62"/>
      <c r="DD89" s="62"/>
      <c r="DE89" s="62"/>
      <c r="DF89" s="62"/>
    </row>
    <row r="90" spans="2:110" ht="21" hidden="1" thickBot="1" x14ac:dyDescent="0.25">
      <c r="B90" s="472"/>
      <c r="D90" s="472"/>
      <c r="E90" s="472"/>
      <c r="F90" s="442"/>
      <c r="G90" s="797"/>
      <c r="H90"/>
      <c r="I90"/>
      <c r="J90"/>
      <c r="K90"/>
      <c r="L90"/>
      <c r="M90"/>
      <c r="N90"/>
      <c r="O90" s="794"/>
      <c r="U90" s="444"/>
      <c r="AB90" s="444"/>
      <c r="AC90" s="444"/>
      <c r="AD90" s="444"/>
      <c r="AE90" s="444"/>
      <c r="BD90" s="446"/>
      <c r="BE90" s="446"/>
      <c r="BG90" s="119"/>
      <c r="BH90" s="119"/>
      <c r="BI90" s="119"/>
      <c r="BJ90" s="119"/>
      <c r="BP90" s="69"/>
      <c r="BQ90" s="863"/>
      <c r="BR90" s="79">
        <v>12</v>
      </c>
      <c r="BS90" s="60"/>
      <c r="BU90" s="122"/>
      <c r="BV90" s="122"/>
      <c r="BW90" s="125"/>
      <c r="BX90" s="122"/>
      <c r="BY90" s="100" t="b">
        <f>IF(CD59=12,7)</f>
        <v>0</v>
      </c>
      <c r="BZ90" s="102"/>
      <c r="CA90" s="102"/>
      <c r="CB90" s="102"/>
      <c r="CC90" s="102"/>
      <c r="CD90" s="102"/>
      <c r="CE90" s="102"/>
      <c r="CF90" s="102"/>
      <c r="CG90" s="102"/>
      <c r="CH90" s="102"/>
      <c r="CI90" s="86" t="b">
        <f>IF(CD59=12,17)</f>
        <v>0</v>
      </c>
      <c r="CJ90" s="138"/>
      <c r="CK90" s="125"/>
      <c r="CL90" s="139"/>
      <c r="CM90" s="122"/>
      <c r="CO90" s="60"/>
      <c r="CP90" s="60"/>
      <c r="CQ90" s="62"/>
      <c r="CR90" s="62"/>
      <c r="CS90" s="62"/>
      <c r="CT90" s="62"/>
      <c r="CU90" s="62"/>
      <c r="CV90" s="62"/>
      <c r="CW90" s="62"/>
      <c r="CX90" s="62"/>
      <c r="CY90" s="62"/>
      <c r="CZ90" s="62"/>
      <c r="DA90" s="62"/>
      <c r="DB90" s="62"/>
      <c r="DC90" s="62"/>
      <c r="DD90" s="62"/>
      <c r="DE90" s="62"/>
      <c r="DF90" s="62"/>
    </row>
    <row r="91" spans="2:110" ht="21" hidden="1" thickBot="1" x14ac:dyDescent="0.25">
      <c r="B91" s="473"/>
      <c r="C91" s="443"/>
      <c r="D91" s="473"/>
      <c r="E91" s="473"/>
      <c r="F91" s="442"/>
      <c r="G91" s="797"/>
      <c r="H91"/>
      <c r="I91"/>
      <c r="J91"/>
      <c r="K91"/>
      <c r="L91"/>
      <c r="M91"/>
      <c r="N91"/>
      <c r="O91" s="794"/>
      <c r="U91" s="444"/>
      <c r="AB91" s="444"/>
      <c r="AC91" s="444"/>
      <c r="AD91" s="444"/>
      <c r="AE91" s="444"/>
      <c r="BD91" s="446"/>
      <c r="BE91" s="446"/>
      <c r="BG91" s="119"/>
      <c r="BH91" s="119"/>
      <c r="BI91" s="119"/>
      <c r="BJ91" s="119"/>
      <c r="BP91" s="69"/>
      <c r="BQ91" s="863"/>
      <c r="BR91" s="79">
        <v>11</v>
      </c>
      <c r="BT91" s="135"/>
      <c r="BU91" s="74"/>
      <c r="BV91" s="135"/>
      <c r="BW91" s="100" t="b">
        <f>IF(CC59=11,5)</f>
        <v>0</v>
      </c>
      <c r="BX91" s="102"/>
      <c r="BY91" s="102"/>
      <c r="BZ91" s="102"/>
      <c r="CA91" s="102"/>
      <c r="CB91" s="102"/>
      <c r="CC91" s="102"/>
      <c r="CD91" s="102"/>
      <c r="CE91" s="102"/>
      <c r="CF91" s="102"/>
      <c r="CG91" s="102"/>
      <c r="CH91" s="102"/>
      <c r="CI91" s="86" t="b">
        <f>IF(CC59=11,17)</f>
        <v>0</v>
      </c>
      <c r="CJ91" s="136"/>
      <c r="CK91" s="74"/>
      <c r="CL91" s="137"/>
      <c r="CN91" s="60"/>
      <c r="CO91" s="60"/>
      <c r="CP91" s="60"/>
      <c r="CQ91" s="62"/>
      <c r="CR91" s="62"/>
      <c r="CS91" s="62"/>
      <c r="CT91" s="62"/>
      <c r="CU91" s="62"/>
      <c r="CV91" s="62"/>
      <c r="CW91" s="62"/>
      <c r="CX91" s="62"/>
      <c r="CY91" s="62"/>
      <c r="CZ91" s="62"/>
      <c r="DA91" s="62"/>
      <c r="DB91" s="62"/>
      <c r="DC91" s="62"/>
      <c r="DD91" s="62"/>
      <c r="DE91" s="62"/>
      <c r="DF91" s="62"/>
    </row>
    <row r="92" spans="2:110" ht="21" hidden="1" thickBot="1" x14ac:dyDescent="0.25">
      <c r="B92" s="474"/>
      <c r="C92" s="474"/>
      <c r="D92" s="475"/>
      <c r="E92" s="475"/>
      <c r="F92" s="475"/>
      <c r="G92" s="797"/>
      <c r="H92"/>
      <c r="I92"/>
      <c r="J92"/>
      <c r="K92"/>
      <c r="L92"/>
      <c r="M92"/>
      <c r="N92"/>
      <c r="O92" s="794"/>
      <c r="BD92" s="446"/>
      <c r="BE92" s="446"/>
      <c r="BG92" s="119"/>
      <c r="BH92" s="119"/>
      <c r="BI92" s="119"/>
      <c r="BJ92" s="119"/>
      <c r="BP92" s="69"/>
      <c r="BQ92" s="863"/>
      <c r="BR92" s="79">
        <v>10</v>
      </c>
      <c r="BT92" s="135"/>
      <c r="BU92" s="100" t="b">
        <f>IF(CB59=10,3)</f>
        <v>0</v>
      </c>
      <c r="BV92" s="102"/>
      <c r="BW92" s="102"/>
      <c r="BX92" s="102"/>
      <c r="BY92" s="102"/>
      <c r="BZ92" s="102"/>
      <c r="CA92" s="102"/>
      <c r="CB92" s="102"/>
      <c r="CC92" s="102"/>
      <c r="CD92" s="102"/>
      <c r="CE92" s="102"/>
      <c r="CF92" s="102"/>
      <c r="CG92" s="102"/>
      <c r="CH92" s="102"/>
      <c r="CI92" s="86" t="b">
        <f>IF(CB59=10,17)</f>
        <v>0</v>
      </c>
      <c r="CJ92" s="136"/>
      <c r="CL92" s="140"/>
      <c r="CM92" s="60"/>
      <c r="CN92" s="60"/>
      <c r="CO92" s="60"/>
      <c r="CP92" s="60"/>
      <c r="CQ92" s="62"/>
      <c r="CR92" s="62"/>
      <c r="CS92" s="62"/>
      <c r="CT92" s="62"/>
      <c r="CU92" s="62"/>
      <c r="CV92" s="62"/>
      <c r="CW92" s="62"/>
      <c r="CX92" s="62"/>
      <c r="CY92" s="62"/>
      <c r="CZ92" s="62"/>
      <c r="DA92" s="62"/>
      <c r="DB92" s="62"/>
      <c r="DC92" s="62"/>
      <c r="DD92" s="62"/>
      <c r="DE92" s="62"/>
      <c r="DF92" s="62"/>
    </row>
    <row r="93" spans="2:110" ht="21" hidden="1" thickBot="1" x14ac:dyDescent="0.25">
      <c r="G93" s="797"/>
      <c r="H93"/>
      <c r="I93"/>
      <c r="J93"/>
      <c r="K93"/>
      <c r="L93"/>
      <c r="M93"/>
      <c r="N93"/>
      <c r="O93" s="794"/>
      <c r="BA93" s="476"/>
      <c r="BD93" s="477"/>
      <c r="BE93" s="477"/>
      <c r="BH93" s="119"/>
      <c r="BI93" s="119"/>
      <c r="BJ93" s="119"/>
      <c r="BP93" s="69"/>
      <c r="BQ93" s="863"/>
      <c r="BR93" s="79">
        <v>9</v>
      </c>
      <c r="BS93" s="100" t="b">
        <f>IF(CA59=9,1)</f>
        <v>0</v>
      </c>
      <c r="BT93" s="102"/>
      <c r="BU93" s="102"/>
      <c r="BV93" s="102"/>
      <c r="BW93" s="102"/>
      <c r="BX93" s="102"/>
      <c r="BY93" s="102"/>
      <c r="BZ93" s="102"/>
      <c r="CA93" s="102"/>
      <c r="CB93" s="102"/>
      <c r="CC93" s="102"/>
      <c r="CD93" s="102"/>
      <c r="CE93" s="102"/>
      <c r="CF93" s="102"/>
      <c r="CG93" s="102"/>
      <c r="CH93" s="102"/>
      <c r="CI93" s="86" t="b">
        <f>IF(CA59=9,17)</f>
        <v>0</v>
      </c>
      <c r="CJ93" s="60"/>
      <c r="CK93" s="60"/>
      <c r="CL93" s="140"/>
      <c r="CM93" s="60"/>
      <c r="CN93" s="60"/>
      <c r="CO93" s="60"/>
      <c r="CP93" s="60"/>
      <c r="CQ93" s="62"/>
      <c r="CR93" s="62"/>
      <c r="CS93" s="62"/>
      <c r="CT93" s="62"/>
      <c r="CU93" s="62"/>
      <c r="CV93" s="62"/>
      <c r="CW93" s="62"/>
      <c r="CX93" s="62"/>
      <c r="CY93" s="62"/>
      <c r="CZ93" s="62"/>
      <c r="DA93" s="62"/>
      <c r="DB93" s="62"/>
      <c r="DC93" s="62"/>
      <c r="DD93" s="62"/>
      <c r="DE93" s="62"/>
      <c r="DF93" s="62"/>
    </row>
    <row r="94" spans="2:110" ht="21" hidden="1" thickBot="1" x14ac:dyDescent="0.25">
      <c r="G94" s="797"/>
      <c r="H94"/>
      <c r="I94"/>
      <c r="J94"/>
      <c r="K94"/>
      <c r="L94"/>
      <c r="M94"/>
      <c r="N94"/>
      <c r="O94" s="794"/>
      <c r="BD94" s="477"/>
      <c r="BE94" s="477"/>
      <c r="BG94" s="119"/>
      <c r="BH94" s="119"/>
      <c r="BI94" s="119"/>
      <c r="BJ94" s="119"/>
      <c r="BP94" s="69"/>
      <c r="BQ94" s="863"/>
      <c r="BR94" s="79">
        <v>8</v>
      </c>
      <c r="BS94" s="100" t="b">
        <f>IF(BZ59=8,1)</f>
        <v>0</v>
      </c>
      <c r="BT94" s="102"/>
      <c r="BU94" s="101"/>
      <c r="BV94" s="102"/>
      <c r="BW94" s="102"/>
      <c r="BX94" s="102"/>
      <c r="BY94" s="102"/>
      <c r="BZ94" s="102"/>
      <c r="CA94" s="102"/>
      <c r="CB94" s="102"/>
      <c r="CC94" s="102"/>
      <c r="CD94" s="102"/>
      <c r="CE94" s="101"/>
      <c r="CF94" s="102"/>
      <c r="CG94" s="86" t="b">
        <f>IF(BZ59=8,15)</f>
        <v>0</v>
      </c>
      <c r="CH94" s="60"/>
      <c r="CI94" s="60"/>
      <c r="CJ94" s="141"/>
      <c r="CK94" s="60"/>
      <c r="CL94" s="140"/>
      <c r="CM94" s="60"/>
      <c r="CN94" s="60"/>
      <c r="CO94" s="60"/>
      <c r="CP94" s="60"/>
      <c r="CQ94" s="62"/>
      <c r="CR94" s="62"/>
      <c r="CS94" s="62"/>
      <c r="CT94" s="62"/>
      <c r="CU94" s="62"/>
      <c r="CV94" s="62"/>
      <c r="CW94" s="62"/>
      <c r="CX94" s="62"/>
      <c r="CY94" s="62"/>
      <c r="CZ94" s="62"/>
      <c r="DA94" s="62"/>
      <c r="DB94" s="62"/>
      <c r="DC94" s="62"/>
      <c r="DD94" s="62"/>
      <c r="DE94" s="62"/>
      <c r="DF94" s="62"/>
    </row>
    <row r="95" spans="2:110" ht="21" hidden="1" thickBot="1" x14ac:dyDescent="0.25">
      <c r="B95" s="474"/>
      <c r="C95" s="474"/>
      <c r="D95" s="478"/>
      <c r="E95" s="475"/>
      <c r="F95" s="475"/>
      <c r="G95" s="797"/>
      <c r="H95"/>
      <c r="I95"/>
      <c r="J95"/>
      <c r="K95"/>
      <c r="L95"/>
      <c r="M95"/>
      <c r="N95"/>
      <c r="O95" s="794"/>
      <c r="BD95" s="477"/>
      <c r="BE95" s="477"/>
      <c r="BH95" s="119"/>
      <c r="BI95" s="119"/>
      <c r="BJ95" s="119"/>
      <c r="BP95" s="69"/>
      <c r="BQ95" s="863"/>
      <c r="BR95" s="79">
        <v>7</v>
      </c>
      <c r="BS95" s="100" t="b">
        <f>IF(BY59=7,1)</f>
        <v>0</v>
      </c>
      <c r="BT95" s="101"/>
      <c r="BU95" s="102"/>
      <c r="BV95" s="102"/>
      <c r="BW95" s="102"/>
      <c r="BX95" s="102"/>
      <c r="BY95" s="102"/>
      <c r="BZ95" s="102"/>
      <c r="CA95" s="102"/>
      <c r="CB95" s="102"/>
      <c r="CC95" s="101"/>
      <c r="CD95" s="101"/>
      <c r="CE95" s="86" t="b">
        <f>IF(BY59=7,13)</f>
        <v>0</v>
      </c>
      <c r="CF95" s="60"/>
      <c r="CG95" s="60"/>
      <c r="CH95" s="60"/>
      <c r="CI95" s="60"/>
      <c r="CJ95" s="141"/>
      <c r="CK95" s="60"/>
      <c r="CL95" s="140"/>
      <c r="CM95" s="60"/>
      <c r="CN95" s="60"/>
      <c r="CO95" s="60"/>
      <c r="CP95" s="60"/>
      <c r="CQ95" s="62"/>
      <c r="CR95" s="62"/>
      <c r="CS95" s="62"/>
      <c r="CT95" s="62"/>
      <c r="CU95" s="62"/>
      <c r="CV95" s="62"/>
      <c r="CW95" s="62"/>
      <c r="CX95" s="62"/>
      <c r="CY95" s="62"/>
      <c r="CZ95" s="62"/>
      <c r="DA95" s="62"/>
      <c r="DB95" s="62"/>
      <c r="DC95" s="62"/>
      <c r="DD95" s="62"/>
      <c r="DE95" s="62"/>
      <c r="DF95" s="62"/>
    </row>
    <row r="96" spans="2:110" ht="21" hidden="1" thickBot="1" x14ac:dyDescent="0.25">
      <c r="B96" s="474"/>
      <c r="C96" s="474"/>
      <c r="D96" s="478"/>
      <c r="E96" s="475"/>
      <c r="F96" s="475"/>
      <c r="G96" s="797"/>
      <c r="H96"/>
      <c r="I96"/>
      <c r="J96"/>
      <c r="K96"/>
      <c r="L96"/>
      <c r="M96"/>
      <c r="N96"/>
      <c r="O96" s="794"/>
      <c r="BD96" s="477"/>
      <c r="BE96" s="477"/>
      <c r="BH96" s="119"/>
      <c r="BI96" s="119"/>
      <c r="BJ96" s="119"/>
      <c r="BP96" s="69"/>
      <c r="BQ96" s="863"/>
      <c r="BR96" s="79">
        <v>6</v>
      </c>
      <c r="BS96" s="103" t="b">
        <f>IF(BX59=6,1)</f>
        <v>0</v>
      </c>
      <c r="BT96" s="106"/>
      <c r="BU96" s="106"/>
      <c r="BV96" s="106"/>
      <c r="BW96" s="106"/>
      <c r="BX96" s="106"/>
      <c r="BY96" s="106"/>
      <c r="BZ96" s="106"/>
      <c r="CA96" s="106"/>
      <c r="CB96" s="106"/>
      <c r="CC96" s="107" t="b">
        <f>IF(BX59=6,11)</f>
        <v>0</v>
      </c>
      <c r="CD96" s="60"/>
      <c r="CE96" s="60"/>
      <c r="CF96" s="60"/>
      <c r="CG96" s="60"/>
      <c r="CH96" s="60"/>
      <c r="CI96" s="60"/>
      <c r="CJ96" s="141"/>
      <c r="CK96" s="60"/>
      <c r="CL96" s="140"/>
      <c r="CM96" s="60"/>
      <c r="CN96" s="60"/>
      <c r="CO96" s="60"/>
      <c r="CP96" s="60"/>
      <c r="CQ96" s="62"/>
      <c r="CR96" s="62"/>
      <c r="CS96" s="62"/>
      <c r="CT96" s="62"/>
      <c r="CU96" s="62"/>
      <c r="CV96" s="62"/>
      <c r="CW96" s="62"/>
      <c r="CX96" s="62"/>
      <c r="CY96" s="62"/>
      <c r="CZ96" s="62"/>
      <c r="DA96" s="62"/>
      <c r="DB96" s="62"/>
      <c r="DC96" s="62"/>
      <c r="DD96" s="62"/>
      <c r="DE96" s="62"/>
      <c r="DF96" s="62"/>
    </row>
    <row r="97" spans="2:110" ht="21" hidden="1" thickBot="1" x14ac:dyDescent="0.25">
      <c r="G97" s="797"/>
      <c r="H97"/>
      <c r="I97"/>
      <c r="J97"/>
      <c r="K97"/>
      <c r="L97"/>
      <c r="M97"/>
      <c r="N97"/>
      <c r="O97" s="794"/>
      <c r="BD97" s="477"/>
      <c r="BE97" s="477"/>
      <c r="BG97" s="119"/>
      <c r="BH97" s="119"/>
      <c r="BI97" s="119"/>
      <c r="BJ97" s="119"/>
      <c r="BP97" s="69"/>
      <c r="BQ97" s="863"/>
      <c r="BR97" s="79">
        <v>5</v>
      </c>
      <c r="BS97" s="103" t="b">
        <f>IF(BW59=5,1)</f>
        <v>0</v>
      </c>
      <c r="BT97" s="105"/>
      <c r="BU97" s="106"/>
      <c r="BV97" s="106"/>
      <c r="BW97" s="106"/>
      <c r="BX97" s="106"/>
      <c r="BY97" s="106"/>
      <c r="BZ97" s="105"/>
      <c r="CA97" s="107" t="b">
        <f>IF(BW59=5,9)</f>
        <v>0</v>
      </c>
      <c r="CB97" s="60"/>
      <c r="CC97" s="60"/>
      <c r="CD97" s="60"/>
      <c r="CE97" s="60"/>
      <c r="CF97" s="60"/>
      <c r="CG97" s="60"/>
      <c r="CH97" s="60"/>
      <c r="CI97" s="60"/>
      <c r="CJ97" s="141"/>
      <c r="CK97" s="60"/>
      <c r="CL97" s="140"/>
      <c r="CM97" s="60"/>
      <c r="CN97" s="60"/>
      <c r="CO97" s="60"/>
      <c r="CP97" s="60"/>
      <c r="CQ97" s="62"/>
      <c r="CR97" s="62"/>
      <c r="CS97" s="62"/>
      <c r="CT97" s="62"/>
      <c r="CU97" s="62"/>
      <c r="CV97" s="62"/>
      <c r="CW97" s="62"/>
      <c r="CX97" s="62"/>
      <c r="CY97" s="62"/>
      <c r="CZ97" s="62"/>
      <c r="DA97" s="62"/>
      <c r="DB97" s="62"/>
      <c r="DC97" s="62"/>
      <c r="DD97" s="62"/>
      <c r="DE97" s="62"/>
      <c r="DF97" s="62"/>
    </row>
    <row r="98" spans="2:110" ht="21" hidden="1" thickBot="1" x14ac:dyDescent="0.25">
      <c r="B98" s="479"/>
      <c r="C98" s="479"/>
      <c r="G98" s="797"/>
      <c r="H98"/>
      <c r="I98"/>
      <c r="J98"/>
      <c r="K98"/>
      <c r="L98"/>
      <c r="M98"/>
      <c r="N98"/>
      <c r="O98" s="794"/>
      <c r="U98" s="446"/>
      <c r="V98" s="446"/>
      <c r="W98" s="446"/>
      <c r="X98" s="446"/>
      <c r="Y98" s="446"/>
      <c r="Z98" s="446"/>
      <c r="AA98" s="446"/>
      <c r="AF98" s="446"/>
      <c r="AG98" s="446"/>
      <c r="AH98" s="446"/>
      <c r="AI98" s="446"/>
      <c r="AJ98" s="446"/>
      <c r="AK98" s="446"/>
      <c r="AL98" s="446"/>
      <c r="AM98" s="446"/>
      <c r="AN98" s="446"/>
      <c r="AO98" s="446"/>
      <c r="AP98" s="446"/>
      <c r="AQ98" s="446"/>
      <c r="AR98" s="446"/>
      <c r="AS98" s="446"/>
      <c r="AT98" s="446"/>
      <c r="AU98" s="446"/>
      <c r="AV98" s="446"/>
      <c r="AW98" s="446"/>
      <c r="AX98" s="446"/>
      <c r="AY98" s="446"/>
      <c r="AZ98" s="446"/>
      <c r="BA98" s="446"/>
      <c r="BB98" s="446"/>
      <c r="BC98" s="446"/>
      <c r="BD98" s="477"/>
      <c r="BE98" s="477"/>
      <c r="BH98" s="119"/>
      <c r="BI98" s="119"/>
      <c r="BJ98" s="119"/>
      <c r="BP98" s="69"/>
      <c r="BQ98" s="863"/>
      <c r="BR98" s="79">
        <v>4</v>
      </c>
      <c r="BS98" s="103" t="b">
        <f>IF(BV59=4,1)</f>
        <v>0</v>
      </c>
      <c r="BT98" s="106"/>
      <c r="BU98" s="106"/>
      <c r="BV98" s="106"/>
      <c r="BW98" s="106"/>
      <c r="BX98" s="106"/>
      <c r="BY98" s="107" t="b">
        <f>IF(BV59=4,7)</f>
        <v>0</v>
      </c>
      <c r="BZ98" s="60"/>
      <c r="CA98" s="142"/>
      <c r="CB98" s="142"/>
      <c r="CC98" s="60"/>
      <c r="CD98" s="142"/>
      <c r="CE98" s="60"/>
      <c r="CF98" s="60"/>
      <c r="CG98" s="60"/>
      <c r="CH98" s="60"/>
      <c r="CI98" s="60"/>
      <c r="CJ98" s="141"/>
      <c r="CK98" s="60"/>
      <c r="CL98" s="140"/>
      <c r="CM98" s="60"/>
      <c r="CN98" s="60"/>
      <c r="CO98" s="60"/>
      <c r="CP98" s="60"/>
      <c r="CQ98" s="62"/>
      <c r="CR98" s="62"/>
      <c r="CS98" s="62"/>
      <c r="CT98" s="62"/>
      <c r="CU98" s="62"/>
      <c r="CV98" s="62"/>
      <c r="CW98" s="62"/>
      <c r="CX98" s="62"/>
      <c r="CY98" s="62"/>
      <c r="CZ98" s="62"/>
      <c r="DA98" s="62"/>
      <c r="DB98" s="62"/>
      <c r="DC98" s="62"/>
      <c r="DD98" s="62"/>
      <c r="DE98" s="62"/>
      <c r="DF98" s="62"/>
    </row>
    <row r="99" spans="2:110" ht="21" hidden="1" thickBot="1" x14ac:dyDescent="0.25">
      <c r="B99" s="437"/>
      <c r="C99" s="437"/>
      <c r="G99" s="797"/>
      <c r="H99"/>
      <c r="I99"/>
      <c r="J99"/>
      <c r="K99"/>
      <c r="L99"/>
      <c r="M99"/>
      <c r="N99"/>
      <c r="O99" s="794"/>
      <c r="BD99" s="477"/>
      <c r="BE99" s="477"/>
      <c r="BG99" s="119"/>
      <c r="BH99" s="119"/>
      <c r="BI99" s="119"/>
      <c r="BJ99" s="119"/>
      <c r="BP99" s="69"/>
      <c r="BQ99" s="863"/>
      <c r="BR99" s="79">
        <v>3</v>
      </c>
      <c r="BS99" s="103" t="b">
        <f>IF(BU59=3,1)</f>
        <v>0</v>
      </c>
      <c r="BT99" s="106"/>
      <c r="BU99" s="106"/>
      <c r="BV99" s="106"/>
      <c r="BW99" s="107" t="b">
        <f>IF(BU59=3,5)</f>
        <v>0</v>
      </c>
      <c r="BX99" s="60"/>
      <c r="BY99" s="60"/>
      <c r="BZ99" s="60"/>
      <c r="CA99" s="60"/>
      <c r="CB99" s="60"/>
      <c r="CC99" s="60"/>
      <c r="CD99" s="60"/>
      <c r="CE99" s="60"/>
      <c r="CF99" s="60"/>
      <c r="CG99" s="60"/>
      <c r="CH99" s="60"/>
      <c r="CI99" s="60"/>
      <c r="CJ99" s="141"/>
      <c r="CK99" s="60"/>
      <c r="CL99" s="140"/>
      <c r="CM99" s="60"/>
      <c r="CN99" s="60"/>
      <c r="CO99" s="60"/>
      <c r="CP99" s="60"/>
      <c r="CQ99" s="62"/>
      <c r="CR99" s="62"/>
      <c r="CS99" s="62"/>
      <c r="CT99" s="62"/>
      <c r="CU99" s="62"/>
      <c r="CV99" s="62"/>
      <c r="CW99" s="62"/>
      <c r="CX99" s="62"/>
      <c r="CY99" s="62"/>
      <c r="CZ99" s="62"/>
      <c r="DA99" s="62"/>
      <c r="DB99" s="62"/>
      <c r="DC99" s="62"/>
      <c r="DD99" s="62"/>
      <c r="DE99" s="62"/>
      <c r="DF99" s="62"/>
    </row>
    <row r="100" spans="2:110" ht="20" hidden="1" x14ac:dyDescent="0.2">
      <c r="B100" s="437"/>
      <c r="C100" s="437"/>
      <c r="G100" s="797"/>
      <c r="H100"/>
      <c r="I100"/>
      <c r="J100"/>
      <c r="K100"/>
      <c r="L100"/>
      <c r="M100"/>
      <c r="N100"/>
      <c r="O100" s="794"/>
      <c r="BD100" s="477"/>
      <c r="BE100" s="477"/>
      <c r="BG100" s="119"/>
      <c r="BH100" s="119"/>
      <c r="BI100" s="119"/>
      <c r="BJ100" s="119"/>
      <c r="BP100" s="69"/>
      <c r="BQ100" s="863"/>
      <c r="BR100" s="79">
        <v>2</v>
      </c>
      <c r="BS100" s="143" t="b">
        <f>IF(BT59=2,1)</f>
        <v>0</v>
      </c>
      <c r="BT100" s="144"/>
      <c r="BU100" s="145" t="b">
        <f>IF(BT59=2,3)</f>
        <v>0</v>
      </c>
      <c r="BV100" s="60"/>
      <c r="BW100" s="60"/>
      <c r="BX100" s="60"/>
      <c r="BY100" s="60"/>
      <c r="BZ100" s="60"/>
      <c r="CA100" s="60"/>
      <c r="CB100" s="60"/>
      <c r="CC100" s="60"/>
      <c r="CD100" s="60"/>
      <c r="CE100" s="60"/>
      <c r="CF100" s="60"/>
      <c r="CG100" s="60"/>
      <c r="CH100" s="60"/>
      <c r="CI100" s="60"/>
      <c r="CJ100" s="141"/>
      <c r="CK100" s="60"/>
      <c r="CL100" s="140"/>
      <c r="CM100" s="60"/>
      <c r="CN100" s="60"/>
      <c r="CO100" s="60"/>
      <c r="CP100" s="60"/>
      <c r="CQ100" s="62"/>
      <c r="CR100" s="62"/>
      <c r="CS100" s="62"/>
      <c r="CT100" s="62"/>
      <c r="CU100" s="62"/>
      <c r="CV100" s="62"/>
      <c r="CW100" s="62"/>
      <c r="CX100" s="62"/>
      <c r="CY100" s="62"/>
      <c r="CZ100" s="62"/>
      <c r="DA100" s="62"/>
      <c r="DB100" s="62"/>
      <c r="DC100" s="62"/>
      <c r="DD100" s="62"/>
      <c r="DE100" s="62"/>
      <c r="DF100" s="62"/>
    </row>
    <row r="101" spans="2:110" ht="21" hidden="1" thickBot="1" x14ac:dyDescent="0.25">
      <c r="B101" s="437"/>
      <c r="C101" s="437"/>
      <c r="G101" s="797"/>
      <c r="H101"/>
      <c r="I101"/>
      <c r="J101"/>
      <c r="K101"/>
      <c r="L101"/>
      <c r="M101"/>
      <c r="N101"/>
      <c r="O101" s="794"/>
      <c r="BD101" s="477"/>
      <c r="BE101" s="477"/>
      <c r="BG101" s="119"/>
      <c r="BH101" s="119"/>
      <c r="BI101" s="119"/>
      <c r="BJ101" s="119"/>
      <c r="BP101" s="69"/>
      <c r="BQ101" s="863"/>
      <c r="BR101" s="146"/>
      <c r="BS101" s="147">
        <f>SUM(BS66:BS100)</f>
        <v>0</v>
      </c>
      <c r="BT101" s="147">
        <f t="shared" ref="BT101:DC101" si="3">SUM(BT66:BT100)</f>
        <v>0</v>
      </c>
      <c r="BU101" s="147">
        <f t="shared" si="3"/>
        <v>0</v>
      </c>
      <c r="BV101" s="147">
        <f t="shared" si="3"/>
        <v>0</v>
      </c>
      <c r="BW101" s="147">
        <f t="shared" si="3"/>
        <v>0</v>
      </c>
      <c r="BX101" s="147">
        <f t="shared" si="3"/>
        <v>0</v>
      </c>
      <c r="BY101" s="147">
        <f t="shared" si="3"/>
        <v>0</v>
      </c>
      <c r="BZ101" s="147">
        <f t="shared" si="3"/>
        <v>8</v>
      </c>
      <c r="CA101" s="147">
        <f t="shared" si="3"/>
        <v>0</v>
      </c>
      <c r="CB101" s="147">
        <f t="shared" si="3"/>
        <v>0</v>
      </c>
      <c r="CC101" s="147">
        <f t="shared" si="3"/>
        <v>0</v>
      </c>
      <c r="CD101" s="147">
        <f t="shared" si="3"/>
        <v>0</v>
      </c>
      <c r="CE101" s="147">
        <f t="shared" si="3"/>
        <v>0</v>
      </c>
      <c r="CF101" s="147">
        <f t="shared" si="3"/>
        <v>0</v>
      </c>
      <c r="CG101" s="147">
        <f t="shared" si="3"/>
        <v>0</v>
      </c>
      <c r="CH101" s="147">
        <f t="shared" si="3"/>
        <v>0</v>
      </c>
      <c r="CI101" s="148">
        <f t="shared" si="3"/>
        <v>0</v>
      </c>
      <c r="CJ101" s="149"/>
      <c r="CK101" s="150"/>
      <c r="CL101" s="151"/>
      <c r="CM101" s="152">
        <f t="shared" si="3"/>
        <v>0</v>
      </c>
      <c r="CN101" s="147">
        <f t="shared" si="3"/>
        <v>0</v>
      </c>
      <c r="CO101" s="147">
        <f t="shared" si="3"/>
        <v>0</v>
      </c>
      <c r="CP101" s="147">
        <f t="shared" si="3"/>
        <v>0</v>
      </c>
      <c r="CQ101" s="147">
        <f t="shared" si="3"/>
        <v>0</v>
      </c>
      <c r="CR101" s="147">
        <f t="shared" si="3"/>
        <v>26</v>
      </c>
      <c r="CS101" s="147">
        <f t="shared" si="3"/>
        <v>0</v>
      </c>
      <c r="CT101" s="147">
        <f t="shared" si="3"/>
        <v>0</v>
      </c>
      <c r="CU101" s="147">
        <f t="shared" si="3"/>
        <v>0</v>
      </c>
      <c r="CV101" s="147">
        <f t="shared" si="3"/>
        <v>0</v>
      </c>
      <c r="CW101" s="147">
        <f t="shared" si="3"/>
        <v>0</v>
      </c>
      <c r="CX101" s="147">
        <f t="shared" si="3"/>
        <v>0</v>
      </c>
      <c r="CY101" s="147">
        <f t="shared" si="3"/>
        <v>0</v>
      </c>
      <c r="CZ101" s="147">
        <f t="shared" si="3"/>
        <v>0</v>
      </c>
      <c r="DA101" s="147">
        <f t="shared" si="3"/>
        <v>0</v>
      </c>
      <c r="DB101" s="147">
        <f t="shared" si="3"/>
        <v>0</v>
      </c>
      <c r="DC101" s="147">
        <f t="shared" si="3"/>
        <v>0</v>
      </c>
      <c r="DD101" s="62"/>
      <c r="DE101" s="62"/>
      <c r="DF101" s="62"/>
    </row>
    <row r="102" spans="2:110" ht="21" hidden="1" thickBot="1" x14ac:dyDescent="0.25">
      <c r="B102" s="437"/>
      <c r="C102" s="437"/>
      <c r="G102" s="797"/>
      <c r="H102"/>
      <c r="I102"/>
      <c r="J102"/>
      <c r="K102"/>
      <c r="L102"/>
      <c r="M102"/>
      <c r="N102"/>
      <c r="O102" s="794"/>
      <c r="BD102" s="477"/>
      <c r="BE102" s="477"/>
      <c r="BG102" s="119"/>
      <c r="BH102" s="119"/>
      <c r="BI102" s="119"/>
      <c r="BJ102" s="119"/>
      <c r="BP102" s="69"/>
      <c r="BQ102" s="863"/>
      <c r="BR102" s="146"/>
      <c r="BS102" s="153"/>
      <c r="BT102" s="153"/>
      <c r="BU102" s="153"/>
      <c r="BV102" s="153"/>
      <c r="BW102" s="153"/>
      <c r="BX102" s="153"/>
      <c r="BY102" s="153"/>
      <c r="BZ102" s="153"/>
      <c r="CA102" s="153"/>
      <c r="CB102" s="153"/>
      <c r="CC102" s="153"/>
      <c r="CD102" s="153"/>
      <c r="CE102" s="153"/>
      <c r="CF102" s="153"/>
      <c r="CG102" s="153"/>
      <c r="CH102" s="153"/>
      <c r="CI102" s="153"/>
      <c r="CJ102" s="153"/>
      <c r="CK102" s="153"/>
      <c r="CL102" s="153"/>
      <c r="CM102" s="154"/>
      <c r="CN102" s="153"/>
      <c r="CO102" s="153"/>
      <c r="CP102" s="153"/>
      <c r="CQ102" s="153"/>
      <c r="CR102" s="153"/>
      <c r="CS102" s="153"/>
      <c r="CT102" s="153"/>
      <c r="CU102" s="153"/>
      <c r="CV102" s="153"/>
      <c r="CW102" s="153"/>
      <c r="CX102" s="153"/>
      <c r="CY102" s="153"/>
      <c r="CZ102" s="153"/>
      <c r="DA102" s="153"/>
      <c r="DB102" s="153"/>
      <c r="DC102" s="153"/>
      <c r="DD102" s="62"/>
      <c r="DE102" s="62"/>
      <c r="DF102" s="62"/>
    </row>
    <row r="103" spans="2:110" ht="42" customHeight="1" thickBot="1" x14ac:dyDescent="0.3">
      <c r="B103" s="437"/>
      <c r="C103" s="437"/>
      <c r="G103" s="797"/>
      <c r="H103"/>
      <c r="I103"/>
      <c r="J103"/>
      <c r="K103"/>
      <c r="L103"/>
      <c r="M103"/>
      <c r="N103"/>
      <c r="O103" s="794"/>
      <c r="BD103" s="477"/>
      <c r="BE103" s="477"/>
      <c r="BG103" s="119"/>
      <c r="BH103" s="119"/>
      <c r="BI103" s="119"/>
      <c r="BJ103" s="119"/>
      <c r="BP103" s="69"/>
      <c r="BQ103" s="866" t="s">
        <v>112</v>
      </c>
      <c r="BR103" s="155" t="s">
        <v>109</v>
      </c>
      <c r="BS103" s="593" t="str">
        <f>IF(BS101=1,17,"")</f>
        <v/>
      </c>
      <c r="BT103" s="594" t="str">
        <f>IF(BT101=2,16,"")</f>
        <v/>
      </c>
      <c r="BU103" s="594" t="str">
        <f>IF(BU101=3,15,"")</f>
        <v/>
      </c>
      <c r="BV103" s="594" t="str">
        <f>IF(BV101=4,14,"")</f>
        <v/>
      </c>
      <c r="BW103" s="594" t="str">
        <f>IF(BW101=5,13,"")</f>
        <v/>
      </c>
      <c r="BX103" s="594" t="str">
        <f>IF(BX101=6,12,"")</f>
        <v/>
      </c>
      <c r="BY103" s="594" t="str">
        <f>IF(BY101=7,11,"")</f>
        <v/>
      </c>
      <c r="BZ103" s="594">
        <f>IF(BZ101=8,10,"")</f>
        <v>10</v>
      </c>
      <c r="CA103" s="594" t="str">
        <f>IF(CA101=9,9,"")</f>
        <v/>
      </c>
      <c r="CB103" s="594" t="str">
        <f>IF(CB101=10,8,"")</f>
        <v/>
      </c>
      <c r="CC103" s="594" t="str">
        <f>IF(CC101=11,7,"")</f>
        <v/>
      </c>
      <c r="CD103" s="595" t="str">
        <f>IF(CD101=12,"6  ADS ","")</f>
        <v/>
      </c>
      <c r="CE103" s="594" t="str">
        <f>IF(CE101=13,5,"")</f>
        <v/>
      </c>
      <c r="CF103" s="594" t="str">
        <f>IF(CF101=14,4,"")</f>
        <v/>
      </c>
      <c r="CG103" s="594" t="str">
        <f>IF(CG101=15,3,"")</f>
        <v/>
      </c>
      <c r="CH103" s="594" t="str">
        <f>IF(CH101=16,2,"")</f>
        <v/>
      </c>
      <c r="CI103" s="594" t="str">
        <f>IF(CI101=17,1,"")</f>
        <v/>
      </c>
      <c r="CJ103" s="156"/>
      <c r="CK103" s="157"/>
      <c r="CL103" s="158"/>
      <c r="CM103" s="596" t="str">
        <f>IF(CM101=21,1,"")</f>
        <v/>
      </c>
      <c r="CN103" s="596" t="str">
        <f>IF(CN101=22,2,"")</f>
        <v/>
      </c>
      <c r="CO103" s="596" t="str">
        <f>IF(CO101=23,3,"")</f>
        <v/>
      </c>
      <c r="CP103" s="596" t="str">
        <f>IF(CP101=24,4,"")</f>
        <v/>
      </c>
      <c r="CQ103" s="596" t="str">
        <f>IF(CQ101=25,5,"")</f>
        <v/>
      </c>
      <c r="CR103" s="597" t="str">
        <f>IF(CR101=26,"6  ADS ","")</f>
        <v xml:space="preserve">6  ADS </v>
      </c>
      <c r="CS103" s="596" t="str">
        <f>IF(CS101=27,7,"")</f>
        <v/>
      </c>
      <c r="CT103" s="596" t="str">
        <f>IF(CT101=28,8,"")</f>
        <v/>
      </c>
      <c r="CU103" s="596" t="str">
        <f>IF(CU101=29,9,"")</f>
        <v/>
      </c>
      <c r="CV103" s="596" t="str">
        <f>IF(CV101=30,10,"")</f>
        <v/>
      </c>
      <c r="CW103" s="596" t="str">
        <f>IF(CW101=31,11,"")</f>
        <v/>
      </c>
      <c r="CX103" s="596" t="str">
        <f>IF(CX101=32,12,"")</f>
        <v/>
      </c>
      <c r="CY103" s="596" t="str">
        <f>IF(CY101=33,13,"")</f>
        <v/>
      </c>
      <c r="CZ103" s="596" t="str">
        <f>IF(CZ101=34,14,"")</f>
        <v/>
      </c>
      <c r="DA103" s="596" t="str">
        <f>IF(DA101=35,15,"")</f>
        <v/>
      </c>
      <c r="DB103" s="596" t="str">
        <f>IF(DB101=36,16,"")</f>
        <v/>
      </c>
      <c r="DC103" s="598" t="str">
        <f>IF(DC101=37,17,"")</f>
        <v/>
      </c>
      <c r="DD103" s="281"/>
      <c r="DE103" s="62"/>
      <c r="DF103" s="62"/>
    </row>
    <row r="104" spans="2:110" ht="42" customHeight="1" thickBot="1" x14ac:dyDescent="0.3">
      <c r="B104" s="437"/>
      <c r="C104" s="437"/>
      <c r="G104" s="797"/>
      <c r="H104"/>
      <c r="I104"/>
      <c r="J104"/>
      <c r="K104"/>
      <c r="L104"/>
      <c r="M104"/>
      <c r="N104"/>
      <c r="O104" s="794"/>
      <c r="BE104" s="477"/>
      <c r="BG104" s="119"/>
      <c r="BH104" s="119"/>
      <c r="BI104" s="119"/>
      <c r="BJ104" s="119"/>
      <c r="BN104" s="767">
        <v>6</v>
      </c>
      <c r="BO104" s="1055" t="b">
        <f>AND(BQ104&gt;=10,$BA$149&gt;=10,$BB$149&gt;=10,$BA$185&gt;=10,$BB$185&gt;=10)</f>
        <v>1</v>
      </c>
      <c r="BP104" s="67" t="str">
        <f>IF(BO104=TRUE,"O K","OVERLOAD")</f>
        <v>O K</v>
      </c>
      <c r="BQ104" s="781">
        <f>SUM(I134:M134)</f>
        <v>131.04013104013106</v>
      </c>
      <c r="BR104" s="631" t="s">
        <v>139</v>
      </c>
      <c r="BS104" s="632">
        <v>-10</v>
      </c>
      <c r="BT104" s="632">
        <v>-9</v>
      </c>
      <c r="BU104" s="632">
        <v>-8</v>
      </c>
      <c r="BV104" s="632">
        <v>-7</v>
      </c>
      <c r="BW104" s="632">
        <v>-6</v>
      </c>
      <c r="BX104" s="632">
        <v>-5</v>
      </c>
      <c r="BY104" s="632">
        <v>-4</v>
      </c>
      <c r="BZ104" s="632">
        <v>-3</v>
      </c>
      <c r="CA104" s="632">
        <v>-2</v>
      </c>
      <c r="CB104" s="632">
        <v>-1</v>
      </c>
      <c r="CC104" s="632">
        <v>0</v>
      </c>
      <c r="CD104" s="632">
        <v>1</v>
      </c>
      <c r="CE104" s="632">
        <v>2</v>
      </c>
      <c r="CF104" s="632">
        <v>3</v>
      </c>
      <c r="CG104" s="632">
        <v>4</v>
      </c>
      <c r="CH104" s="632">
        <v>5</v>
      </c>
      <c r="CI104" s="632">
        <v>6</v>
      </c>
      <c r="CJ104" s="632">
        <v>7</v>
      </c>
      <c r="CK104" s="632">
        <v>8</v>
      </c>
      <c r="CL104" s="632">
        <v>9</v>
      </c>
      <c r="CM104" s="632">
        <v>10</v>
      </c>
      <c r="CN104" s="632">
        <v>11</v>
      </c>
      <c r="CO104" s="632">
        <v>12</v>
      </c>
      <c r="CP104" s="632">
        <v>13</v>
      </c>
      <c r="CQ104" s="632">
        <v>14</v>
      </c>
      <c r="CR104" s="632">
        <v>15</v>
      </c>
      <c r="CS104" s="632">
        <v>16</v>
      </c>
      <c r="CT104" s="632">
        <v>17</v>
      </c>
      <c r="CU104" s="632">
        <v>18</v>
      </c>
      <c r="CV104" s="632">
        <v>19</v>
      </c>
      <c r="CW104" s="632">
        <v>20</v>
      </c>
      <c r="CX104" s="632">
        <v>21</v>
      </c>
      <c r="CY104" s="632">
        <v>22</v>
      </c>
      <c r="CZ104" s="632">
        <v>23</v>
      </c>
      <c r="DA104" s="632">
        <v>24</v>
      </c>
      <c r="DB104" s="632">
        <v>25</v>
      </c>
      <c r="DC104" s="634">
        <v>26</v>
      </c>
      <c r="DD104" s="62"/>
      <c r="DE104" s="62"/>
      <c r="DF104" s="62"/>
    </row>
    <row r="105" spans="2:110" ht="20" hidden="1" x14ac:dyDescent="0.2">
      <c r="B105" s="437"/>
      <c r="C105" s="437"/>
      <c r="G105" s="797"/>
      <c r="H105"/>
      <c r="I105"/>
      <c r="J105"/>
      <c r="K105"/>
      <c r="L105"/>
      <c r="M105"/>
      <c r="N105"/>
      <c r="O105" s="794"/>
      <c r="BD105" s="477"/>
      <c r="BF105" s="50"/>
      <c r="BG105" s="119"/>
      <c r="BH105" s="119"/>
      <c r="BI105" s="119"/>
      <c r="BJ105" s="119"/>
      <c r="BK105" s="119"/>
      <c r="BL105" s="119"/>
      <c r="BM105" s="119"/>
      <c r="BN105" s="119"/>
      <c r="BO105" s="305"/>
      <c r="BP105" s="119"/>
      <c r="BQ105" s="863"/>
      <c r="BR105" s="62"/>
      <c r="BS105" s="182"/>
      <c r="BT105" s="182"/>
      <c r="BU105" s="182"/>
      <c r="BV105" s="182"/>
      <c r="BW105" s="182"/>
      <c r="BX105" s="182"/>
      <c r="BY105" s="182"/>
      <c r="BZ105" s="182"/>
      <c r="CA105" s="182"/>
      <c r="CB105" s="182"/>
      <c r="CC105" s="182"/>
      <c r="CD105" s="182"/>
      <c r="CE105" s="182"/>
      <c r="CF105" s="182"/>
      <c r="CG105" s="182"/>
      <c r="CH105" s="182"/>
      <c r="CI105" s="182"/>
      <c r="CJ105" s="182"/>
      <c r="CK105" s="182"/>
      <c r="CL105" s="182"/>
      <c r="CM105" s="182"/>
      <c r="CN105" s="182"/>
      <c r="CO105" s="182"/>
      <c r="CP105" s="182"/>
      <c r="CQ105" s="182"/>
      <c r="CR105" s="182"/>
      <c r="CS105" s="182"/>
      <c r="CT105" s="182"/>
      <c r="CU105" s="182"/>
      <c r="CV105" s="182"/>
      <c r="CW105" s="182"/>
      <c r="CX105" s="182"/>
      <c r="CY105" s="182"/>
      <c r="CZ105" s="182"/>
      <c r="DA105" s="182"/>
      <c r="DB105" s="182"/>
      <c r="DC105" s="182"/>
      <c r="DD105" s="182"/>
    </row>
    <row r="106" spans="2:110" ht="20" hidden="1" x14ac:dyDescent="0.2">
      <c r="B106" s="437"/>
      <c r="C106" s="437"/>
      <c r="G106" s="797"/>
      <c r="H106"/>
      <c r="I106"/>
      <c r="J106"/>
      <c r="K106"/>
      <c r="L106"/>
      <c r="M106"/>
      <c r="N106"/>
      <c r="O106" s="794"/>
      <c r="BD106" s="477"/>
      <c r="BE106" s="480"/>
      <c r="BF106" s="50"/>
      <c r="BG106" s="119"/>
      <c r="BH106" s="119"/>
      <c r="BI106" s="119"/>
      <c r="BJ106" s="119"/>
      <c r="BK106" s="119"/>
      <c r="BL106" s="119"/>
      <c r="BM106" s="119"/>
      <c r="BN106" s="119"/>
      <c r="BO106" s="305"/>
      <c r="BP106" s="119"/>
      <c r="BQ106" s="863"/>
      <c r="BR106" s="60"/>
      <c r="BS106" s="60"/>
      <c r="BT106" s="60"/>
      <c r="BU106" s="60"/>
      <c r="BV106" s="60"/>
      <c r="BW106" s="60"/>
      <c r="BX106" s="185"/>
      <c r="BY106" s="185"/>
      <c r="BZ106" s="185"/>
      <c r="CA106" s="185"/>
      <c r="CB106" s="185"/>
      <c r="CC106" s="185"/>
      <c r="CD106" s="185"/>
      <c r="CE106" s="185"/>
      <c r="CF106" s="185"/>
      <c r="CG106" s="185"/>
      <c r="CH106" s="185"/>
      <c r="CI106" s="185"/>
      <c r="CJ106" s="185"/>
      <c r="CK106" s="185"/>
      <c r="CL106" s="62"/>
      <c r="CM106" s="62"/>
      <c r="CN106" s="62"/>
      <c r="CO106" s="62"/>
      <c r="CP106" s="62"/>
      <c r="CQ106" s="62"/>
      <c r="CR106" s="62"/>
      <c r="CS106" s="62"/>
      <c r="CT106" s="62"/>
      <c r="CU106" s="62"/>
      <c r="CV106" s="62"/>
      <c r="CW106" s="62"/>
      <c r="CX106" s="62"/>
      <c r="CY106" s="62"/>
      <c r="CZ106" s="62"/>
      <c r="DA106" s="62"/>
      <c r="DB106" s="62"/>
      <c r="DC106" s="62"/>
      <c r="DD106" s="62"/>
      <c r="DE106" s="62"/>
      <c r="DF106" s="62"/>
    </row>
    <row r="107" spans="2:110" hidden="1" x14ac:dyDescent="0.2">
      <c r="B107" s="437"/>
      <c r="C107" s="437"/>
      <c r="G107" s="797"/>
      <c r="H107"/>
      <c r="I107"/>
      <c r="J107"/>
      <c r="K107"/>
      <c r="L107"/>
      <c r="M107"/>
      <c r="N107"/>
      <c r="O107" s="794"/>
      <c r="BD107" s="477"/>
      <c r="BE107" s="477"/>
      <c r="BG107" s="119"/>
      <c r="BH107" s="119"/>
      <c r="BI107" s="119"/>
      <c r="BJ107" s="119"/>
      <c r="BK107" s="119"/>
      <c r="BL107" s="119"/>
      <c r="BM107" s="119"/>
      <c r="BN107" s="119"/>
      <c r="BO107" s="305"/>
      <c r="BP107" s="119"/>
      <c r="BQ107" s="863"/>
      <c r="BR107" s="109"/>
      <c r="BS107" s="109"/>
      <c r="BT107" s="109"/>
      <c r="BU107" s="109"/>
      <c r="BV107" s="109"/>
      <c r="BW107" s="109"/>
      <c r="BX107" s="186"/>
      <c r="BY107" s="186"/>
      <c r="BZ107" s="186"/>
      <c r="CA107" s="186"/>
      <c r="CB107" s="186"/>
      <c r="CC107" s="186"/>
      <c r="CD107" s="186"/>
      <c r="CE107" s="186"/>
      <c r="CF107" s="186"/>
      <c r="CG107" s="186"/>
      <c r="CH107" s="186"/>
      <c r="CI107" s="186"/>
      <c r="CJ107" s="186"/>
      <c r="CK107" s="186"/>
    </row>
    <row r="108" spans="2:110" ht="18" hidden="1" x14ac:dyDescent="0.2">
      <c r="B108" s="437"/>
      <c r="C108" s="437"/>
      <c r="G108" s="797"/>
      <c r="H108"/>
      <c r="I108"/>
      <c r="J108"/>
      <c r="K108"/>
      <c r="L108"/>
      <c r="M108"/>
      <c r="N108"/>
      <c r="O108" s="794"/>
      <c r="BD108" s="481"/>
      <c r="BE108" s="481"/>
      <c r="BG108" s="119"/>
      <c r="BH108" s="119"/>
      <c r="BI108" s="119"/>
      <c r="BJ108" s="119"/>
      <c r="BK108" s="119"/>
      <c r="BL108" s="119"/>
      <c r="BN108" s="187" t="s">
        <v>53</v>
      </c>
      <c r="BO108" s="305"/>
      <c r="BP108" s="170"/>
      <c r="BQ108" s="863"/>
      <c r="BR108" s="48"/>
      <c r="BU108" s="109"/>
      <c r="BV108" s="109"/>
      <c r="BW108" s="109"/>
      <c r="BX108" s="186"/>
      <c r="BY108" s="186"/>
      <c r="BZ108" s="186"/>
      <c r="CA108" s="186"/>
      <c r="CB108" s="186"/>
      <c r="CC108" s="186"/>
      <c r="CD108" s="186"/>
      <c r="CE108" s="186"/>
      <c r="CF108" s="186"/>
      <c r="CG108" s="186"/>
      <c r="CH108" s="186"/>
      <c r="CI108" s="186"/>
      <c r="CJ108" s="186"/>
      <c r="CK108" s="186"/>
      <c r="CT108" s="48"/>
      <c r="DF108" s="187" t="s">
        <v>52</v>
      </c>
    </row>
    <row r="109" spans="2:110" ht="18" hidden="1" x14ac:dyDescent="0.2">
      <c r="B109" s="437"/>
      <c r="C109" s="437"/>
      <c r="G109" s="797"/>
      <c r="H109"/>
      <c r="I109"/>
      <c r="J109"/>
      <c r="K109"/>
      <c r="L109"/>
      <c r="M109"/>
      <c r="N109"/>
      <c r="O109" s="794"/>
      <c r="BD109" s="482"/>
      <c r="BE109" s="482"/>
      <c r="BG109" s="119"/>
      <c r="BH109" s="119"/>
      <c r="BI109" s="119"/>
      <c r="BJ109" s="119"/>
      <c r="BK109" s="119"/>
      <c r="BL109" s="119"/>
      <c r="BM109" s="195"/>
      <c r="BN109" s="187">
        <f>-+BJ111</f>
        <v>673.50364081718942</v>
      </c>
      <c r="BO109" s="305"/>
      <c r="BP109" s="170"/>
      <c r="BQ109" s="863"/>
      <c r="BR109" s="48"/>
      <c r="BU109" s="109"/>
      <c r="BV109" s="109"/>
      <c r="BW109" s="109"/>
      <c r="BX109" s="186"/>
      <c r="BY109" s="186"/>
      <c r="BZ109" s="186"/>
      <c r="CA109" s="186"/>
      <c r="CB109" s="186"/>
      <c r="CC109" s="186"/>
      <c r="CD109" s="186"/>
      <c r="CE109" s="186"/>
      <c r="CF109" s="186"/>
      <c r="CG109" s="186"/>
      <c r="CH109" s="186"/>
      <c r="CI109" s="186"/>
      <c r="CJ109" s="186"/>
      <c r="CK109" s="186"/>
      <c r="CR109" s="195"/>
      <c r="CT109" s="48"/>
      <c r="DF109" s="187">
        <f>+-BJ147</f>
        <v>-874.49635918281058</v>
      </c>
    </row>
    <row r="110" spans="2:110" ht="18" hidden="1" x14ac:dyDescent="0.2">
      <c r="B110" s="437"/>
      <c r="C110" s="437"/>
      <c r="G110" s="797"/>
      <c r="H110"/>
      <c r="I110"/>
      <c r="J110"/>
      <c r="K110"/>
      <c r="L110"/>
      <c r="M110"/>
      <c r="N110"/>
      <c r="O110" s="794"/>
      <c r="BD110" s="482"/>
      <c r="BE110" s="482"/>
      <c r="BG110" s="119"/>
      <c r="BH110" s="119"/>
      <c r="BI110" s="259" t="s">
        <v>107</v>
      </c>
      <c r="BJ110" s="119"/>
      <c r="BK110" s="119"/>
      <c r="BL110" s="119"/>
      <c r="BM110" s="119"/>
      <c r="BN110" s="119"/>
      <c r="BO110" s="305"/>
      <c r="BP110" s="119"/>
      <c r="BQ110" s="863"/>
      <c r="BR110" s="109"/>
      <c r="BS110" s="109"/>
      <c r="BT110" s="109"/>
      <c r="BU110" s="109"/>
      <c r="BV110" s="109"/>
      <c r="BW110" s="109"/>
      <c r="BX110" s="186"/>
      <c r="BY110" s="186"/>
      <c r="BZ110" s="186"/>
      <c r="CA110" s="186"/>
      <c r="CB110" s="186"/>
      <c r="CC110" s="186"/>
      <c r="CD110" s="186"/>
      <c r="CE110" s="186"/>
      <c r="CF110" s="186"/>
      <c r="CG110" s="186"/>
      <c r="CH110" s="186"/>
      <c r="CI110" s="186"/>
      <c r="CJ110" s="186"/>
      <c r="CK110" s="186"/>
    </row>
    <row r="111" spans="2:110" ht="20" hidden="1" x14ac:dyDescent="0.3">
      <c r="B111" s="437"/>
      <c r="C111" s="437"/>
      <c r="G111" s="797"/>
      <c r="H111"/>
      <c r="I111"/>
      <c r="J111"/>
      <c r="K111"/>
      <c r="L111"/>
      <c r="M111"/>
      <c r="N111"/>
      <c r="O111" s="794"/>
      <c r="BG111" s="260">
        <v>1</v>
      </c>
      <c r="BH111" s="261">
        <v>-473</v>
      </c>
      <c r="BI111" s="262">
        <f>+COS(($B$138*-1)*3.14159265358979/180)*BH111</f>
        <v>-473</v>
      </c>
      <c r="BJ111" s="263">
        <f t="shared" ref="BJ111:BJ147" si="4">+BI111-D$3</f>
        <v>-673.50364081718942</v>
      </c>
      <c r="BK111" s="264">
        <f t="shared" ref="BK111:BK147" si="5">ABS(BJ111)</f>
        <v>673.50364081718942</v>
      </c>
      <c r="BL111" s="265">
        <f>MIN(BK111:BK147)</f>
        <v>14.496359182810608</v>
      </c>
      <c r="BM111" s="264" t="b">
        <f>IF(BL111=BK111,BG111)</f>
        <v>0</v>
      </c>
      <c r="BN111" s="266">
        <v>1</v>
      </c>
      <c r="BO111" s="197"/>
      <c r="BP111" s="197"/>
      <c r="BQ111" s="197"/>
      <c r="BR111" s="109"/>
      <c r="BS111" s="109"/>
      <c r="BT111" s="109"/>
      <c r="BU111" s="109"/>
      <c r="BV111" s="109"/>
      <c r="BW111" s="109"/>
      <c r="BX111" s="186"/>
      <c r="BY111" s="186"/>
      <c r="BZ111" s="186"/>
      <c r="CA111" s="186"/>
      <c r="CB111" s="186"/>
      <c r="CC111" s="186"/>
      <c r="CD111" s="186"/>
      <c r="CE111" s="186"/>
      <c r="CF111" s="186"/>
      <c r="CG111" s="186"/>
      <c r="CH111" s="186"/>
      <c r="CI111" s="186"/>
      <c r="CJ111" s="186"/>
      <c r="CK111" s="186"/>
    </row>
    <row r="112" spans="2:110" ht="20" hidden="1" x14ac:dyDescent="0.3">
      <c r="B112" s="437"/>
      <c r="C112" s="437"/>
      <c r="G112" s="797"/>
      <c r="H112"/>
      <c r="I112"/>
      <c r="J112"/>
      <c r="K112"/>
      <c r="L112"/>
      <c r="M112"/>
      <c r="N112"/>
      <c r="O112" s="794"/>
      <c r="BG112" s="260">
        <v>2</v>
      </c>
      <c r="BH112" s="261">
        <f>+BH111+43</f>
        <v>-430</v>
      </c>
      <c r="BI112" s="31">
        <f>+BI111+$E$2</f>
        <v>-430</v>
      </c>
      <c r="BJ112" s="263">
        <f t="shared" si="4"/>
        <v>-630.50364081718942</v>
      </c>
      <c r="BK112" s="264">
        <f t="shared" si="5"/>
        <v>630.50364081718942</v>
      </c>
      <c r="BL112" s="264">
        <f>+BL111</f>
        <v>14.496359182810608</v>
      </c>
      <c r="BM112" s="264" t="b">
        <f t="shared" ref="BM112:BM147" si="6">IF(BL112=BK112,BG112)</f>
        <v>0</v>
      </c>
      <c r="BN112" s="266">
        <v>2</v>
      </c>
      <c r="BO112" s="197"/>
      <c r="BP112" s="197"/>
      <c r="BQ112" s="197"/>
      <c r="BR112" s="109"/>
      <c r="BS112" s="109"/>
      <c r="BT112" s="109"/>
      <c r="BU112" s="109"/>
      <c r="BV112" s="109"/>
      <c r="BW112" s="109"/>
      <c r="BX112" s="186"/>
      <c r="BY112" s="186"/>
      <c r="BZ112" s="186"/>
      <c r="CA112" s="186"/>
      <c r="CB112" s="186"/>
      <c r="CC112" s="186"/>
      <c r="CD112" s="186"/>
      <c r="CE112" s="186"/>
      <c r="CF112" s="186"/>
      <c r="CG112" s="186"/>
      <c r="CH112" s="186"/>
      <c r="CI112" s="186"/>
      <c r="CJ112" s="186"/>
      <c r="CK112" s="186"/>
    </row>
    <row r="113" spans="2:94" ht="20" hidden="1" x14ac:dyDescent="0.3">
      <c r="B113" s="437"/>
      <c r="C113" s="437"/>
      <c r="G113" s="797"/>
      <c r="H113"/>
      <c r="I113"/>
      <c r="J113"/>
      <c r="K113"/>
      <c r="L113"/>
      <c r="M113"/>
      <c r="N113"/>
      <c r="O113" s="794"/>
      <c r="BG113" s="260">
        <v>3</v>
      </c>
      <c r="BH113" s="261">
        <f t="shared" ref="BH113:BH147" si="7">+BH112+43</f>
        <v>-387</v>
      </c>
      <c r="BI113" s="31">
        <f t="shared" ref="BI113:BI147" si="8">+BI112+$E$2</f>
        <v>-387</v>
      </c>
      <c r="BJ113" s="263">
        <f t="shared" si="4"/>
        <v>-587.50364081718942</v>
      </c>
      <c r="BK113" s="264">
        <f t="shared" si="5"/>
        <v>587.50364081718942</v>
      </c>
      <c r="BL113" s="264">
        <f t="shared" ref="BL113:BL147" si="9">+BL112</f>
        <v>14.496359182810608</v>
      </c>
      <c r="BM113" s="264" t="b">
        <f t="shared" si="6"/>
        <v>0</v>
      </c>
      <c r="BN113" s="266">
        <v>3</v>
      </c>
      <c r="BO113" s="197"/>
      <c r="BP113" s="197"/>
      <c r="BQ113" s="197"/>
      <c r="BR113" s="109"/>
      <c r="BS113" s="109"/>
      <c r="BT113" s="109"/>
      <c r="BU113" s="109"/>
      <c r="BV113" s="109"/>
      <c r="BW113" s="109"/>
      <c r="BX113" s="186"/>
      <c r="BY113" s="186"/>
      <c r="BZ113" s="186"/>
      <c r="CA113" s="186"/>
      <c r="CB113" s="186"/>
      <c r="CC113" s="186"/>
      <c r="CD113" s="186"/>
      <c r="CE113" s="186"/>
      <c r="CF113" s="186"/>
      <c r="CG113" s="186"/>
      <c r="CH113" s="186"/>
      <c r="CI113" s="186"/>
      <c r="CJ113" s="186"/>
      <c r="CK113" s="186"/>
    </row>
    <row r="114" spans="2:94" ht="20" hidden="1" x14ac:dyDescent="0.3">
      <c r="B114" s="437"/>
      <c r="C114" s="437"/>
      <c r="G114" s="797"/>
      <c r="H114"/>
      <c r="I114"/>
      <c r="J114"/>
      <c r="K114"/>
      <c r="L114"/>
      <c r="M114"/>
      <c r="N114"/>
      <c r="O114" s="794"/>
      <c r="BG114" s="260">
        <v>4</v>
      </c>
      <c r="BH114" s="261">
        <f t="shared" si="7"/>
        <v>-344</v>
      </c>
      <c r="BI114" s="31">
        <f t="shared" si="8"/>
        <v>-344</v>
      </c>
      <c r="BJ114" s="263">
        <f t="shared" si="4"/>
        <v>-544.50364081718942</v>
      </c>
      <c r="BK114" s="264">
        <f t="shared" si="5"/>
        <v>544.50364081718942</v>
      </c>
      <c r="BL114" s="264">
        <f t="shared" si="9"/>
        <v>14.496359182810608</v>
      </c>
      <c r="BM114" s="264" t="b">
        <f t="shared" si="6"/>
        <v>0</v>
      </c>
      <c r="BN114" s="266">
        <v>4</v>
      </c>
      <c r="BO114" s="197"/>
      <c r="BP114" s="197"/>
      <c r="BQ114" s="197"/>
      <c r="CK114" s="217"/>
      <c r="CL114" s="217"/>
      <c r="CM114" s="217"/>
      <c r="CN114" s="217"/>
      <c r="CO114" s="217"/>
      <c r="CP114" s="217"/>
    </row>
    <row r="115" spans="2:94" ht="20" hidden="1" x14ac:dyDescent="0.3">
      <c r="B115" s="437"/>
      <c r="C115" s="437"/>
      <c r="G115" s="797"/>
      <c r="H115"/>
      <c r="I115"/>
      <c r="J115"/>
      <c r="K115"/>
      <c r="L115"/>
      <c r="M115"/>
      <c r="N115"/>
      <c r="O115" s="794"/>
      <c r="BG115" s="260">
        <v>5</v>
      </c>
      <c r="BH115" s="261">
        <f t="shared" si="7"/>
        <v>-301</v>
      </c>
      <c r="BI115" s="31">
        <f t="shared" si="8"/>
        <v>-301</v>
      </c>
      <c r="BJ115" s="263">
        <f t="shared" si="4"/>
        <v>-501.50364081718942</v>
      </c>
      <c r="BK115" s="264">
        <f t="shared" si="5"/>
        <v>501.50364081718942</v>
      </c>
      <c r="BL115" s="264">
        <f t="shared" si="9"/>
        <v>14.496359182810608</v>
      </c>
      <c r="BM115" s="264" t="b">
        <f t="shared" si="6"/>
        <v>0</v>
      </c>
      <c r="BN115" s="266">
        <v>5</v>
      </c>
      <c r="BO115" s="197"/>
      <c r="BP115" s="197"/>
      <c r="BQ115" s="197"/>
    </row>
    <row r="116" spans="2:94" ht="20" hidden="1" x14ac:dyDescent="0.3">
      <c r="B116" s="437"/>
      <c r="C116" s="437"/>
      <c r="G116" s="797"/>
      <c r="H116"/>
      <c r="I116"/>
      <c r="J116"/>
      <c r="K116"/>
      <c r="L116"/>
      <c r="M116"/>
      <c r="N116"/>
      <c r="O116" s="794"/>
      <c r="BG116" s="260">
        <v>6</v>
      </c>
      <c r="BH116" s="261">
        <f t="shared" si="7"/>
        <v>-258</v>
      </c>
      <c r="BI116" s="31">
        <f t="shared" si="8"/>
        <v>-258</v>
      </c>
      <c r="BJ116" s="263">
        <f t="shared" si="4"/>
        <v>-458.50364081718942</v>
      </c>
      <c r="BK116" s="264">
        <f t="shared" si="5"/>
        <v>458.50364081718942</v>
      </c>
      <c r="BL116" s="264">
        <f t="shared" si="9"/>
        <v>14.496359182810608</v>
      </c>
      <c r="BM116" s="264" t="b">
        <f t="shared" si="6"/>
        <v>0</v>
      </c>
      <c r="BN116" s="266">
        <v>6</v>
      </c>
      <c r="BO116" s="197"/>
      <c r="BP116" s="197"/>
      <c r="BQ116" s="197"/>
    </row>
    <row r="117" spans="2:94" ht="20" hidden="1" x14ac:dyDescent="0.3">
      <c r="B117" s="437"/>
      <c r="C117" s="437"/>
      <c r="G117" s="797"/>
      <c r="H117"/>
      <c r="I117"/>
      <c r="J117"/>
      <c r="K117"/>
      <c r="L117"/>
      <c r="M117"/>
      <c r="N117"/>
      <c r="O117" s="794"/>
      <c r="BG117" s="260">
        <v>7</v>
      </c>
      <c r="BH117" s="261">
        <f t="shared" si="7"/>
        <v>-215</v>
      </c>
      <c r="BI117" s="31">
        <f t="shared" si="8"/>
        <v>-215</v>
      </c>
      <c r="BJ117" s="263">
        <f t="shared" si="4"/>
        <v>-415.50364081718942</v>
      </c>
      <c r="BK117" s="264">
        <f t="shared" si="5"/>
        <v>415.50364081718942</v>
      </c>
      <c r="BL117" s="264">
        <f t="shared" si="9"/>
        <v>14.496359182810608</v>
      </c>
      <c r="BM117" s="264" t="b">
        <f t="shared" si="6"/>
        <v>0</v>
      </c>
      <c r="BN117" s="266">
        <v>7</v>
      </c>
      <c r="BO117" s="197"/>
      <c r="BP117" s="197"/>
      <c r="BQ117" s="197"/>
    </row>
    <row r="118" spans="2:94" ht="20" hidden="1" x14ac:dyDescent="0.3">
      <c r="B118" s="437"/>
      <c r="C118" s="437"/>
      <c r="G118" s="797"/>
      <c r="H118"/>
      <c r="I118"/>
      <c r="J118"/>
      <c r="K118"/>
      <c r="L118"/>
      <c r="M118"/>
      <c r="N118"/>
      <c r="O118" s="794"/>
      <c r="BG118" s="260">
        <v>8</v>
      </c>
      <c r="BH118" s="261">
        <f t="shared" si="7"/>
        <v>-172</v>
      </c>
      <c r="BI118" s="31">
        <f t="shared" si="8"/>
        <v>-172</v>
      </c>
      <c r="BJ118" s="263">
        <f t="shared" si="4"/>
        <v>-372.50364081718942</v>
      </c>
      <c r="BK118" s="264">
        <f t="shared" si="5"/>
        <v>372.50364081718942</v>
      </c>
      <c r="BL118" s="264">
        <f t="shared" si="9"/>
        <v>14.496359182810608</v>
      </c>
      <c r="BM118" s="264" t="b">
        <f t="shared" si="6"/>
        <v>0</v>
      </c>
      <c r="BN118" s="266">
        <v>8</v>
      </c>
      <c r="BO118" s="197"/>
      <c r="BP118" s="197"/>
      <c r="BQ118" s="197"/>
    </row>
    <row r="119" spans="2:94" ht="20" hidden="1" x14ac:dyDescent="0.3">
      <c r="B119" s="437"/>
      <c r="C119" s="437"/>
      <c r="G119" s="797"/>
      <c r="H119"/>
      <c r="I119"/>
      <c r="J119"/>
      <c r="K119"/>
      <c r="L119"/>
      <c r="M119"/>
      <c r="N119"/>
      <c r="O119" s="794"/>
      <c r="BG119" s="260">
        <v>9</v>
      </c>
      <c r="BH119" s="261">
        <f t="shared" si="7"/>
        <v>-129</v>
      </c>
      <c r="BI119" s="31">
        <f t="shared" si="8"/>
        <v>-129</v>
      </c>
      <c r="BJ119" s="263">
        <f t="shared" si="4"/>
        <v>-329.50364081718942</v>
      </c>
      <c r="BK119" s="264">
        <f t="shared" si="5"/>
        <v>329.50364081718942</v>
      </c>
      <c r="BL119" s="264">
        <f t="shared" si="9"/>
        <v>14.496359182810608</v>
      </c>
      <c r="BM119" s="264" t="b">
        <f t="shared" si="6"/>
        <v>0</v>
      </c>
      <c r="BN119" s="266">
        <v>9</v>
      </c>
      <c r="BO119" s="197"/>
      <c r="BP119" s="197"/>
      <c r="BQ119" s="197"/>
    </row>
    <row r="120" spans="2:94" ht="20" hidden="1" x14ac:dyDescent="0.3">
      <c r="B120" s="437"/>
      <c r="C120" s="437"/>
      <c r="G120" s="797"/>
      <c r="H120"/>
      <c r="I120"/>
      <c r="J120"/>
      <c r="K120"/>
      <c r="L120"/>
      <c r="M120"/>
      <c r="N120"/>
      <c r="O120" s="794"/>
      <c r="BG120" s="260">
        <v>10</v>
      </c>
      <c r="BH120" s="261">
        <f t="shared" si="7"/>
        <v>-86</v>
      </c>
      <c r="BI120" s="31">
        <f t="shared" si="8"/>
        <v>-86</v>
      </c>
      <c r="BJ120" s="263">
        <f t="shared" si="4"/>
        <v>-286.50364081718942</v>
      </c>
      <c r="BK120" s="264">
        <f t="shared" si="5"/>
        <v>286.50364081718942</v>
      </c>
      <c r="BL120" s="264">
        <f t="shared" si="9"/>
        <v>14.496359182810608</v>
      </c>
      <c r="BM120" s="264" t="b">
        <f t="shared" si="6"/>
        <v>0</v>
      </c>
      <c r="BN120" s="266">
        <v>10</v>
      </c>
      <c r="BO120" s="197"/>
      <c r="BP120" s="197"/>
      <c r="BQ120" s="197"/>
    </row>
    <row r="121" spans="2:94" ht="20" hidden="1" x14ac:dyDescent="0.3">
      <c r="B121" s="437"/>
      <c r="C121" s="437"/>
      <c r="G121" s="797"/>
      <c r="H121"/>
      <c r="I121"/>
      <c r="J121"/>
      <c r="K121"/>
      <c r="L121"/>
      <c r="M121"/>
      <c r="N121"/>
      <c r="O121" s="794"/>
      <c r="BG121" s="260">
        <v>11</v>
      </c>
      <c r="BH121" s="261">
        <f t="shared" si="7"/>
        <v>-43</v>
      </c>
      <c r="BI121" s="31">
        <f t="shared" si="8"/>
        <v>-43</v>
      </c>
      <c r="BJ121" s="263">
        <f t="shared" si="4"/>
        <v>-243.50364081718939</v>
      </c>
      <c r="BK121" s="264">
        <f t="shared" si="5"/>
        <v>243.50364081718939</v>
      </c>
      <c r="BL121" s="264">
        <f t="shared" si="9"/>
        <v>14.496359182810608</v>
      </c>
      <c r="BM121" s="264" t="b">
        <f t="shared" si="6"/>
        <v>0</v>
      </c>
      <c r="BN121" s="266">
        <v>11</v>
      </c>
      <c r="BO121" s="197"/>
      <c r="BP121" s="197"/>
      <c r="BQ121" s="197"/>
    </row>
    <row r="122" spans="2:94" ht="20" hidden="1" x14ac:dyDescent="0.3">
      <c r="B122" s="437"/>
      <c r="C122" s="437"/>
      <c r="G122" s="797"/>
      <c r="H122"/>
      <c r="I122"/>
      <c r="J122"/>
      <c r="K122"/>
      <c r="L122"/>
      <c r="M122"/>
      <c r="N122"/>
      <c r="O122" s="794"/>
      <c r="BG122" s="260">
        <v>12</v>
      </c>
      <c r="BH122" s="261">
        <f t="shared" si="7"/>
        <v>0</v>
      </c>
      <c r="BI122" s="31">
        <f t="shared" si="8"/>
        <v>0</v>
      </c>
      <c r="BJ122" s="263">
        <f t="shared" si="4"/>
        <v>-200.50364081718939</v>
      </c>
      <c r="BK122" s="264">
        <f t="shared" si="5"/>
        <v>200.50364081718939</v>
      </c>
      <c r="BL122" s="264">
        <f t="shared" si="9"/>
        <v>14.496359182810608</v>
      </c>
      <c r="BM122" s="264" t="b">
        <f t="shared" si="6"/>
        <v>0</v>
      </c>
      <c r="BN122" s="266">
        <v>12</v>
      </c>
      <c r="BO122" s="197"/>
      <c r="BP122" s="197"/>
      <c r="BQ122" s="197"/>
    </row>
    <row r="123" spans="2:94" ht="20" hidden="1" x14ac:dyDescent="0.3">
      <c r="B123" s="437"/>
      <c r="C123" s="437"/>
      <c r="G123" s="797"/>
      <c r="H123"/>
      <c r="I123"/>
      <c r="J123"/>
      <c r="K123"/>
      <c r="L123"/>
      <c r="M123"/>
      <c r="N123"/>
      <c r="O123" s="794"/>
      <c r="BG123" s="260">
        <v>13</v>
      </c>
      <c r="BH123" s="261">
        <f t="shared" si="7"/>
        <v>43</v>
      </c>
      <c r="BI123" s="31">
        <f t="shared" si="8"/>
        <v>43</v>
      </c>
      <c r="BJ123" s="263">
        <f t="shared" si="4"/>
        <v>-157.50364081718939</v>
      </c>
      <c r="BK123" s="264">
        <f t="shared" si="5"/>
        <v>157.50364081718939</v>
      </c>
      <c r="BL123" s="264">
        <f t="shared" si="9"/>
        <v>14.496359182810608</v>
      </c>
      <c r="BM123" s="264" t="b">
        <f t="shared" si="6"/>
        <v>0</v>
      </c>
      <c r="BN123" s="266">
        <v>13</v>
      </c>
      <c r="BO123" s="197"/>
      <c r="BP123" s="197"/>
      <c r="BQ123" s="197"/>
    </row>
    <row r="124" spans="2:94" ht="20" hidden="1" x14ac:dyDescent="0.3">
      <c r="B124" s="437"/>
      <c r="C124" s="437"/>
      <c r="G124" s="797"/>
      <c r="H124"/>
      <c r="I124"/>
      <c r="J124"/>
      <c r="K124"/>
      <c r="L124"/>
      <c r="M124"/>
      <c r="N124"/>
      <c r="O124" s="794"/>
      <c r="BG124" s="260">
        <v>14</v>
      </c>
      <c r="BH124" s="261">
        <f t="shared" si="7"/>
        <v>86</v>
      </c>
      <c r="BI124" s="31">
        <f t="shared" si="8"/>
        <v>86</v>
      </c>
      <c r="BJ124" s="263">
        <f t="shared" si="4"/>
        <v>-114.50364081718939</v>
      </c>
      <c r="BK124" s="264">
        <f t="shared" si="5"/>
        <v>114.50364081718939</v>
      </c>
      <c r="BL124" s="264">
        <f t="shared" si="9"/>
        <v>14.496359182810608</v>
      </c>
      <c r="BM124" s="264" t="b">
        <f t="shared" si="6"/>
        <v>0</v>
      </c>
      <c r="BN124" s="266">
        <v>14</v>
      </c>
      <c r="BO124" s="197"/>
      <c r="BP124" s="197"/>
      <c r="BQ124" s="197"/>
    </row>
    <row r="125" spans="2:94" ht="20" hidden="1" x14ac:dyDescent="0.3">
      <c r="G125" s="797"/>
      <c r="H125"/>
      <c r="I125"/>
      <c r="J125"/>
      <c r="K125"/>
      <c r="L125"/>
      <c r="M125"/>
      <c r="N125"/>
      <c r="O125" s="794"/>
      <c r="BG125" s="260">
        <v>15</v>
      </c>
      <c r="BH125" s="261">
        <f t="shared" si="7"/>
        <v>129</v>
      </c>
      <c r="BI125" s="31">
        <f t="shared" si="8"/>
        <v>129</v>
      </c>
      <c r="BJ125" s="263">
        <f t="shared" si="4"/>
        <v>-71.503640817189392</v>
      </c>
      <c r="BK125" s="264">
        <f t="shared" si="5"/>
        <v>71.503640817189392</v>
      </c>
      <c r="BL125" s="264">
        <f t="shared" si="9"/>
        <v>14.496359182810608</v>
      </c>
      <c r="BM125" s="264" t="b">
        <f t="shared" si="6"/>
        <v>0</v>
      </c>
      <c r="BN125" s="266">
        <v>15</v>
      </c>
      <c r="BO125" s="197"/>
      <c r="BP125" s="197"/>
      <c r="BQ125" s="197"/>
    </row>
    <row r="126" spans="2:94" ht="45" hidden="1" customHeight="1" x14ac:dyDescent="0.3">
      <c r="G126" s="797"/>
      <c r="H126"/>
      <c r="I126" s="808" t="s">
        <v>192</v>
      </c>
      <c r="J126" s="808" t="s">
        <v>191</v>
      </c>
      <c r="K126" s="774" t="s">
        <v>193</v>
      </c>
      <c r="L126" s="775" t="s">
        <v>194</v>
      </c>
      <c r="M126" s="784" t="s">
        <v>198</v>
      </c>
      <c r="N126"/>
      <c r="O126" s="794"/>
      <c r="BG126" s="260">
        <v>16</v>
      </c>
      <c r="BH126" s="261">
        <f t="shared" si="7"/>
        <v>172</v>
      </c>
      <c r="BI126" s="31">
        <f t="shared" si="8"/>
        <v>172</v>
      </c>
      <c r="BJ126" s="263">
        <f t="shared" si="4"/>
        <v>-28.503640817189392</v>
      </c>
      <c r="BK126" s="264">
        <f t="shared" si="5"/>
        <v>28.503640817189392</v>
      </c>
      <c r="BL126" s="264">
        <f t="shared" si="9"/>
        <v>14.496359182810608</v>
      </c>
      <c r="BM126" s="264" t="b">
        <f t="shared" si="6"/>
        <v>0</v>
      </c>
      <c r="BN126" s="266">
        <v>16</v>
      </c>
      <c r="BO126" s="197"/>
      <c r="BP126" s="197"/>
      <c r="BQ126" s="197"/>
    </row>
    <row r="127" spans="2:94" ht="45" hidden="1" customHeight="1" thickBot="1" x14ac:dyDescent="0.35">
      <c r="G127" s="797"/>
      <c r="H127"/>
      <c r="I127" s="768" t="s">
        <v>185</v>
      </c>
      <c r="J127" s="773" t="s">
        <v>184</v>
      </c>
      <c r="K127" s="772" t="s">
        <v>112</v>
      </c>
      <c r="L127" s="776" t="s">
        <v>112</v>
      </c>
      <c r="M127" s="785" t="s">
        <v>112</v>
      </c>
      <c r="N127"/>
      <c r="O127" s="794"/>
      <c r="BG127" s="260">
        <v>17</v>
      </c>
      <c r="BH127" s="261">
        <f t="shared" si="7"/>
        <v>215</v>
      </c>
      <c r="BI127" s="31">
        <f t="shared" si="8"/>
        <v>215</v>
      </c>
      <c r="BJ127" s="263">
        <f t="shared" si="4"/>
        <v>14.496359182810608</v>
      </c>
      <c r="BK127" s="264">
        <f t="shared" si="5"/>
        <v>14.496359182810608</v>
      </c>
      <c r="BL127" s="264">
        <f t="shared" si="9"/>
        <v>14.496359182810608</v>
      </c>
      <c r="BM127" s="264">
        <f t="shared" si="6"/>
        <v>17</v>
      </c>
      <c r="BN127" s="266">
        <v>17</v>
      </c>
      <c r="BO127" s="197"/>
      <c r="BP127" s="197"/>
      <c r="BQ127" s="197"/>
    </row>
    <row r="128" spans="2:94" ht="45" hidden="1" customHeight="1" thickBot="1" x14ac:dyDescent="0.35">
      <c r="G128" s="797"/>
      <c r="H128" s="861" t="s">
        <v>210</v>
      </c>
      <c r="I128" s="854">
        <f>+MIN(K33:L34)</f>
        <v>78.943011487932523</v>
      </c>
      <c r="J128" s="854">
        <f>+MIN(J39:K40)</f>
        <v>131.04013104013106</v>
      </c>
      <c r="K128" s="856">
        <f>+MIN(J45:L46)</f>
        <v>131.04013104013106</v>
      </c>
      <c r="L128" s="857">
        <f>+MIN(J51:L52)</f>
        <v>56.700056700056706</v>
      </c>
      <c r="M128" s="858">
        <f>+MIN(J57:L58)</f>
        <v>131.04013104013106</v>
      </c>
      <c r="N128"/>
      <c r="O128" s="794"/>
      <c r="BG128" s="260">
        <v>18</v>
      </c>
      <c r="BH128" s="261">
        <f t="shared" si="7"/>
        <v>258</v>
      </c>
      <c r="BI128" s="31">
        <f t="shared" si="8"/>
        <v>258</v>
      </c>
      <c r="BJ128" s="263">
        <f t="shared" si="4"/>
        <v>57.496359182810608</v>
      </c>
      <c r="BK128" s="264">
        <f t="shared" si="5"/>
        <v>57.496359182810608</v>
      </c>
      <c r="BL128" s="264">
        <f t="shared" si="9"/>
        <v>14.496359182810608</v>
      </c>
      <c r="BM128" s="264" t="b">
        <f t="shared" si="6"/>
        <v>0</v>
      </c>
      <c r="BN128" s="266">
        <v>18</v>
      </c>
      <c r="BO128" s="197"/>
      <c r="BP128" s="197"/>
      <c r="BQ128" s="197"/>
    </row>
    <row r="129" spans="2:110" ht="15.75" hidden="1" customHeight="1" x14ac:dyDescent="0.3">
      <c r="G129" s="810"/>
      <c r="H129" s="114"/>
      <c r="I129" s="114"/>
      <c r="J129" s="114"/>
      <c r="K129" s="114"/>
      <c r="L129" s="114"/>
      <c r="M129" s="114"/>
      <c r="N129" s="114"/>
      <c r="O129" s="811"/>
      <c r="BG129" s="260">
        <v>19</v>
      </c>
      <c r="BH129" s="261">
        <f t="shared" si="7"/>
        <v>301</v>
      </c>
      <c r="BI129" s="31">
        <f t="shared" si="8"/>
        <v>301</v>
      </c>
      <c r="BJ129" s="263">
        <f t="shared" si="4"/>
        <v>100.49635918281061</v>
      </c>
      <c r="BK129" s="264">
        <f t="shared" si="5"/>
        <v>100.49635918281061</v>
      </c>
      <c r="BL129" s="264">
        <f t="shared" si="9"/>
        <v>14.496359182810608</v>
      </c>
      <c r="BM129" s="264" t="b">
        <f t="shared" si="6"/>
        <v>0</v>
      </c>
      <c r="BN129" s="266">
        <v>19</v>
      </c>
      <c r="BO129" s="197"/>
      <c r="BP129" s="197"/>
      <c r="BQ129" s="197"/>
    </row>
    <row r="130" spans="2:110" ht="15.75" hidden="1" customHeight="1" x14ac:dyDescent="0.3">
      <c r="G130" s="797"/>
      <c r="H130" s="184"/>
      <c r="I130" s="184"/>
      <c r="J130" s="184"/>
      <c r="K130" s="184"/>
      <c r="L130" s="184"/>
      <c r="M130" s="184"/>
      <c r="N130" s="184"/>
      <c r="O130" s="812"/>
      <c r="BG130" s="260">
        <v>20</v>
      </c>
      <c r="BH130" s="261">
        <f t="shared" si="7"/>
        <v>344</v>
      </c>
      <c r="BI130" s="31">
        <f t="shared" si="8"/>
        <v>344</v>
      </c>
      <c r="BJ130" s="263">
        <f t="shared" si="4"/>
        <v>143.49635918281061</v>
      </c>
      <c r="BK130" s="264">
        <f t="shared" si="5"/>
        <v>143.49635918281061</v>
      </c>
      <c r="BL130" s="264">
        <f t="shared" si="9"/>
        <v>14.496359182810608</v>
      </c>
      <c r="BM130" s="264" t="b">
        <f t="shared" si="6"/>
        <v>0</v>
      </c>
      <c r="BN130" s="266">
        <v>20</v>
      </c>
      <c r="BO130" s="197"/>
      <c r="BP130" s="197"/>
      <c r="BQ130" s="197"/>
    </row>
    <row r="131" spans="2:110" ht="15.75" hidden="1" customHeight="1" x14ac:dyDescent="0.3">
      <c r="G131" s="797"/>
      <c r="H131"/>
      <c r="I131"/>
      <c r="J131"/>
      <c r="K131"/>
      <c r="L131"/>
      <c r="M131"/>
      <c r="N131"/>
      <c r="O131" s="794"/>
      <c r="BG131" s="260">
        <v>21</v>
      </c>
      <c r="BH131" s="261">
        <f t="shared" si="7"/>
        <v>387</v>
      </c>
      <c r="BI131" s="31">
        <f t="shared" si="8"/>
        <v>387</v>
      </c>
      <c r="BJ131" s="263">
        <f t="shared" si="4"/>
        <v>186.49635918281061</v>
      </c>
      <c r="BK131" s="264">
        <f t="shared" si="5"/>
        <v>186.49635918281061</v>
      </c>
      <c r="BL131" s="264">
        <f t="shared" si="9"/>
        <v>14.496359182810608</v>
      </c>
      <c r="BM131" s="264" t="b">
        <f t="shared" si="6"/>
        <v>0</v>
      </c>
      <c r="BN131" s="266">
        <v>21</v>
      </c>
      <c r="BO131" s="197"/>
      <c r="BP131" s="197"/>
      <c r="BQ131" s="197"/>
    </row>
    <row r="132" spans="2:110" ht="22.5" hidden="1" customHeight="1" x14ac:dyDescent="0.3">
      <c r="G132" s="797"/>
      <c r="H132"/>
      <c r="I132" s="843" t="s">
        <v>208</v>
      </c>
      <c r="J132" s="843" t="s">
        <v>207</v>
      </c>
      <c r="K132"/>
      <c r="L132"/>
      <c r="M132"/>
      <c r="N132"/>
      <c r="O132" s="794"/>
      <c r="BG132" s="260">
        <v>22</v>
      </c>
      <c r="BH132" s="261">
        <f t="shared" si="7"/>
        <v>430</v>
      </c>
      <c r="BI132" s="31">
        <f t="shared" si="8"/>
        <v>430</v>
      </c>
      <c r="BJ132" s="263">
        <f t="shared" si="4"/>
        <v>229.49635918281061</v>
      </c>
      <c r="BK132" s="264">
        <f t="shared" si="5"/>
        <v>229.49635918281061</v>
      </c>
      <c r="BL132" s="264">
        <f t="shared" si="9"/>
        <v>14.496359182810608</v>
      </c>
      <c r="BM132" s="264" t="b">
        <f t="shared" si="6"/>
        <v>0</v>
      </c>
      <c r="BN132" s="266">
        <v>22</v>
      </c>
      <c r="BO132" s="197"/>
      <c r="BP132" s="197"/>
      <c r="BQ132" s="197"/>
    </row>
    <row r="133" spans="2:110" ht="22.5" hidden="1" customHeight="1" x14ac:dyDescent="0.3">
      <c r="G133" s="813"/>
      <c r="H133" s="192"/>
      <c r="I133" s="859">
        <f>COUNTIF(CM101:DC101,"&gt;0")</f>
        <v>1</v>
      </c>
      <c r="J133" s="859">
        <f>COUNTIF(BS101:CI101,"&gt;0")</f>
        <v>1</v>
      </c>
      <c r="K133" s="859" t="b">
        <f>AND(IF(SUM(BS103:CC103)&gt;0,1,0),IF(CR103="6  ADS ",1,0))</f>
        <v>1</v>
      </c>
      <c r="L133" s="859" t="b">
        <f>AND(IF(SUM(CS103:DC103)&gt;0,1,0),IF(CD103="6  ADS ",1,0))</f>
        <v>0</v>
      </c>
      <c r="M133" s="859" t="b">
        <f>AND(IF(CR103="6  ADS ",1,0),IF(CD103="6  ADS ",1,0))</f>
        <v>0</v>
      </c>
      <c r="N133" s="192"/>
      <c r="O133" s="814"/>
      <c r="BG133" s="260">
        <v>23</v>
      </c>
      <c r="BH133" s="261">
        <f t="shared" si="7"/>
        <v>473</v>
      </c>
      <c r="BI133" s="31">
        <f t="shared" si="8"/>
        <v>473</v>
      </c>
      <c r="BJ133" s="263">
        <f t="shared" si="4"/>
        <v>272.49635918281058</v>
      </c>
      <c r="BK133" s="264">
        <f t="shared" si="5"/>
        <v>272.49635918281058</v>
      </c>
      <c r="BL133" s="264">
        <f t="shared" si="9"/>
        <v>14.496359182810608</v>
      </c>
      <c r="BM133" s="264" t="b">
        <f t="shared" si="6"/>
        <v>0</v>
      </c>
      <c r="BN133" s="266">
        <v>23</v>
      </c>
      <c r="BO133" s="197"/>
      <c r="BP133" s="197"/>
      <c r="BQ133" s="197"/>
    </row>
    <row r="134" spans="2:110" ht="22.5" hidden="1" customHeight="1" thickBot="1" x14ac:dyDescent="0.35">
      <c r="G134" s="815"/>
      <c r="H134" s="816"/>
      <c r="I134" s="860">
        <f>IF(I133=2,I128,0)</f>
        <v>0</v>
      </c>
      <c r="J134" s="860">
        <f>IF(J133=2,J128,0)</f>
        <v>0</v>
      </c>
      <c r="K134" s="860">
        <f t="shared" ref="K134:M134" si="10">IF(K133=TRUE,K128,0)</f>
        <v>131.04013104013106</v>
      </c>
      <c r="L134" s="860">
        <f t="shared" si="10"/>
        <v>0</v>
      </c>
      <c r="M134" s="860">
        <f t="shared" si="10"/>
        <v>0</v>
      </c>
      <c r="N134" s="816"/>
      <c r="O134" s="817"/>
      <c r="BG134" s="260">
        <v>24</v>
      </c>
      <c r="BH134" s="261">
        <f t="shared" si="7"/>
        <v>516</v>
      </c>
      <c r="BI134" s="31">
        <f t="shared" si="8"/>
        <v>516</v>
      </c>
      <c r="BJ134" s="263">
        <f t="shared" si="4"/>
        <v>315.49635918281058</v>
      </c>
      <c r="BK134" s="264">
        <f t="shared" si="5"/>
        <v>315.49635918281058</v>
      </c>
      <c r="BL134" s="264">
        <f t="shared" si="9"/>
        <v>14.496359182810608</v>
      </c>
      <c r="BM134" s="264" t="b">
        <f t="shared" si="6"/>
        <v>0</v>
      </c>
      <c r="BN134" s="266">
        <v>24</v>
      </c>
      <c r="BO134" s="197"/>
      <c r="BP134" s="197"/>
      <c r="BQ134" s="197"/>
    </row>
    <row r="135" spans="2:110" ht="45" customHeight="1" thickBot="1" x14ac:dyDescent="0.35">
      <c r="B135" s="1144" t="s">
        <v>105</v>
      </c>
      <c r="C135" s="483"/>
      <c r="D135" s="282" t="str">
        <f>IF(BN109&gt;0," ","change the angle of frame or of cabinets")</f>
        <v xml:space="preserve"> </v>
      </c>
      <c r="E135" s="484"/>
      <c r="F135" s="484"/>
      <c r="G135" s="484"/>
      <c r="BG135" s="260">
        <v>25</v>
      </c>
      <c r="BH135" s="261">
        <f t="shared" si="7"/>
        <v>559</v>
      </c>
      <c r="BI135" s="31">
        <f t="shared" si="8"/>
        <v>559</v>
      </c>
      <c r="BJ135" s="263">
        <f t="shared" si="4"/>
        <v>358.49635918281058</v>
      </c>
      <c r="BK135" s="264">
        <f t="shared" si="5"/>
        <v>358.49635918281058</v>
      </c>
      <c r="BL135" s="264">
        <f t="shared" si="9"/>
        <v>14.496359182810608</v>
      </c>
      <c r="BM135" s="264" t="b">
        <f t="shared" si="6"/>
        <v>0</v>
      </c>
      <c r="BN135" s="266">
        <v>25</v>
      </c>
      <c r="BO135" s="197"/>
      <c r="BP135" s="197"/>
      <c r="BQ135" s="197"/>
      <c r="DF135" s="74"/>
    </row>
    <row r="136" spans="2:110" ht="45" customHeight="1" thickBot="1" x14ac:dyDescent="0.35">
      <c r="B136" s="1145"/>
      <c r="D136" s="282" t="str">
        <f>IF(DF109&lt;0," ","change the angle of frame or of cabinets")</f>
        <v xml:space="preserve"> </v>
      </c>
      <c r="E136" s="484"/>
      <c r="F136" s="484"/>
      <c r="G136" s="484"/>
      <c r="V136" s="485"/>
      <c r="W136" s="485"/>
      <c r="X136" s="485"/>
      <c r="Y136" s="485"/>
      <c r="Z136" s="485"/>
      <c r="AA136" s="485"/>
      <c r="AF136" s="465"/>
      <c r="AG136" s="465"/>
      <c r="AH136" s="465"/>
      <c r="AI136" s="465"/>
      <c r="AJ136" s="465"/>
      <c r="AK136" s="465"/>
      <c r="AL136" s="465"/>
      <c r="AM136" s="465"/>
      <c r="AN136" s="465"/>
      <c r="AO136" s="465"/>
      <c r="AP136" s="465"/>
      <c r="AQ136" s="465"/>
      <c r="AR136" s="465"/>
      <c r="AS136" s="465"/>
      <c r="AT136" s="465"/>
      <c r="AU136" s="465"/>
      <c r="AV136" s="465"/>
      <c r="AW136" s="465"/>
      <c r="AX136" s="465"/>
      <c r="AY136" s="465"/>
      <c r="AZ136" s="465"/>
      <c r="BA136" s="465"/>
      <c r="BB136" s="465"/>
      <c r="BC136" s="465"/>
      <c r="BG136" s="260">
        <v>26</v>
      </c>
      <c r="BH136" s="261">
        <f t="shared" si="7"/>
        <v>602</v>
      </c>
      <c r="BI136" s="31">
        <f t="shared" si="8"/>
        <v>602</v>
      </c>
      <c r="BJ136" s="263">
        <f t="shared" si="4"/>
        <v>401.49635918281058</v>
      </c>
      <c r="BK136" s="264">
        <f t="shared" si="5"/>
        <v>401.49635918281058</v>
      </c>
      <c r="BL136" s="264">
        <f t="shared" si="9"/>
        <v>14.496359182810608</v>
      </c>
      <c r="BM136" s="264" t="b">
        <f t="shared" si="6"/>
        <v>0</v>
      </c>
      <c r="BN136" s="266">
        <v>26</v>
      </c>
      <c r="BO136" s="197"/>
      <c r="BP136" s="197"/>
      <c r="BQ136" s="197"/>
    </row>
    <row r="137" spans="2:110" ht="45" customHeight="1" thickBot="1" x14ac:dyDescent="0.35">
      <c r="B137" s="1146"/>
      <c r="C137" s="486"/>
      <c r="D137" s="282" t="str">
        <f>IF(BN109&gt;(+COS(($B$138*-1)*3.14159265358979/180)*451.5)," ","USE EXBAR AR AT THE FRONT")</f>
        <v xml:space="preserve"> </v>
      </c>
      <c r="E137" s="484"/>
      <c r="F137" s="484"/>
      <c r="G137" s="484"/>
      <c r="U137" s="446"/>
      <c r="AB137" s="446"/>
      <c r="AC137" s="446"/>
      <c r="AD137" s="446"/>
      <c r="AE137" s="446"/>
      <c r="BG137" s="260">
        <v>27</v>
      </c>
      <c r="BH137" s="261">
        <f t="shared" si="7"/>
        <v>645</v>
      </c>
      <c r="BI137" s="31">
        <f t="shared" si="8"/>
        <v>645</v>
      </c>
      <c r="BJ137" s="263">
        <f t="shared" si="4"/>
        <v>444.49635918281058</v>
      </c>
      <c r="BK137" s="264">
        <f t="shared" si="5"/>
        <v>444.49635918281058</v>
      </c>
      <c r="BL137" s="264">
        <f t="shared" si="9"/>
        <v>14.496359182810608</v>
      </c>
      <c r="BM137" s="264" t="b">
        <f t="shared" si="6"/>
        <v>0</v>
      </c>
      <c r="BN137" s="266">
        <v>27</v>
      </c>
      <c r="BO137" s="197"/>
      <c r="BP137" s="197"/>
      <c r="BQ137" s="197"/>
    </row>
    <row r="138" spans="2:110" ht="45" customHeight="1" thickBot="1" x14ac:dyDescent="0.35">
      <c r="B138" s="1085">
        <v>0</v>
      </c>
      <c r="C138" s="486"/>
      <c r="D138" s="282" t="str">
        <f>IF(DF109&lt;-(+COS(($B$138*-1)*3.14159265358979/180)*365.5)," ","USE EXBAR AR AT THE BACK")</f>
        <v xml:space="preserve"> </v>
      </c>
      <c r="E138" s="484"/>
      <c r="F138" s="484"/>
      <c r="G138" s="484"/>
      <c r="BG138" s="260">
        <v>28</v>
      </c>
      <c r="BH138" s="261">
        <f t="shared" si="7"/>
        <v>688</v>
      </c>
      <c r="BI138" s="31">
        <f t="shared" si="8"/>
        <v>688</v>
      </c>
      <c r="BJ138" s="263">
        <f t="shared" si="4"/>
        <v>487.49635918281058</v>
      </c>
      <c r="BK138" s="264">
        <f t="shared" si="5"/>
        <v>487.49635918281058</v>
      </c>
      <c r="BL138" s="264">
        <f t="shared" si="9"/>
        <v>14.496359182810608</v>
      </c>
      <c r="BM138" s="264" t="b">
        <f t="shared" si="6"/>
        <v>0</v>
      </c>
      <c r="BN138" s="266">
        <v>28</v>
      </c>
      <c r="BO138" s="197"/>
      <c r="BP138" s="197"/>
      <c r="BQ138" s="197"/>
    </row>
    <row r="139" spans="2:110" ht="15.75" hidden="1" customHeight="1" x14ac:dyDescent="0.3">
      <c r="BG139" s="260">
        <v>29</v>
      </c>
      <c r="BH139" s="261">
        <f t="shared" si="7"/>
        <v>731</v>
      </c>
      <c r="BI139" s="31">
        <f t="shared" si="8"/>
        <v>731</v>
      </c>
      <c r="BJ139" s="263">
        <f t="shared" si="4"/>
        <v>530.49635918281058</v>
      </c>
      <c r="BK139" s="264">
        <f t="shared" si="5"/>
        <v>530.49635918281058</v>
      </c>
      <c r="BL139" s="264">
        <f t="shared" si="9"/>
        <v>14.496359182810608</v>
      </c>
      <c r="BM139" s="264" t="b">
        <f t="shared" si="6"/>
        <v>0</v>
      </c>
      <c r="BN139" s="266">
        <v>29</v>
      </c>
      <c r="BO139" s="197"/>
      <c r="BP139" s="197"/>
      <c r="BQ139" s="197"/>
    </row>
    <row r="140" spans="2:110" ht="15.75" hidden="1" customHeight="1" x14ac:dyDescent="0.3">
      <c r="U140" s="487"/>
      <c r="AG140" s="488"/>
      <c r="AH140" s="489"/>
      <c r="BG140" s="260">
        <v>30</v>
      </c>
      <c r="BH140" s="261">
        <f t="shared" si="7"/>
        <v>774</v>
      </c>
      <c r="BI140" s="31">
        <f t="shared" si="8"/>
        <v>774</v>
      </c>
      <c r="BJ140" s="263">
        <f t="shared" si="4"/>
        <v>573.49635918281058</v>
      </c>
      <c r="BK140" s="264">
        <f t="shared" si="5"/>
        <v>573.49635918281058</v>
      </c>
      <c r="BL140" s="264">
        <f t="shared" si="9"/>
        <v>14.496359182810608</v>
      </c>
      <c r="BM140" s="264" t="b">
        <f t="shared" si="6"/>
        <v>0</v>
      </c>
      <c r="BN140" s="266">
        <v>30</v>
      </c>
      <c r="BO140" s="197"/>
      <c r="BP140" s="197"/>
      <c r="BQ140" s="197"/>
    </row>
    <row r="141" spans="2:110" ht="15.75" hidden="1" customHeight="1" x14ac:dyDescent="0.3">
      <c r="B141" s="490"/>
      <c r="U141" s="487"/>
      <c r="BG141" s="260">
        <v>31</v>
      </c>
      <c r="BH141" s="261">
        <f t="shared" si="7"/>
        <v>817</v>
      </c>
      <c r="BI141" s="31">
        <f t="shared" si="8"/>
        <v>817</v>
      </c>
      <c r="BJ141" s="263">
        <f t="shared" si="4"/>
        <v>616.49635918281058</v>
      </c>
      <c r="BK141" s="264">
        <f t="shared" si="5"/>
        <v>616.49635918281058</v>
      </c>
      <c r="BL141" s="264">
        <f t="shared" si="9"/>
        <v>14.496359182810608</v>
      </c>
      <c r="BM141" s="264" t="b">
        <f t="shared" si="6"/>
        <v>0</v>
      </c>
      <c r="BN141" s="266">
        <v>31</v>
      </c>
      <c r="BO141" s="197"/>
      <c r="BP141" s="197"/>
      <c r="BQ141" s="197"/>
    </row>
    <row r="142" spans="2:110" ht="15.75" hidden="1" customHeight="1" thickBot="1" x14ac:dyDescent="0.35">
      <c r="B142" s="490"/>
      <c r="AB142" s="490"/>
      <c r="AC142" s="490"/>
      <c r="AD142" s="490"/>
      <c r="AE142" s="490"/>
      <c r="BG142" s="260">
        <v>32</v>
      </c>
      <c r="BH142" s="261">
        <f t="shared" si="7"/>
        <v>860</v>
      </c>
      <c r="BI142" s="31">
        <f t="shared" si="8"/>
        <v>860</v>
      </c>
      <c r="BJ142" s="263">
        <f t="shared" si="4"/>
        <v>659.49635918281058</v>
      </c>
      <c r="BK142" s="264">
        <f t="shared" si="5"/>
        <v>659.49635918281058</v>
      </c>
      <c r="BL142" s="264">
        <f t="shared" si="9"/>
        <v>14.496359182810608</v>
      </c>
      <c r="BM142" s="264" t="b">
        <f t="shared" si="6"/>
        <v>0</v>
      </c>
      <c r="BN142" s="266">
        <v>32</v>
      </c>
      <c r="BO142" s="197"/>
      <c r="BP142" s="197"/>
      <c r="BQ142" s="197"/>
    </row>
    <row r="143" spans="2:110" ht="93" hidden="1" customHeight="1" x14ac:dyDescent="0.3">
      <c r="V143" s="446"/>
      <c r="W143" s="1013" t="s">
        <v>92</v>
      </c>
      <c r="X143" s="491"/>
      <c r="Y143" s="491"/>
      <c r="Z143" s="491"/>
      <c r="AA143" s="491"/>
      <c r="AB143" s="446"/>
      <c r="AC143" s="446"/>
      <c r="AD143" s="446"/>
      <c r="AE143" s="446"/>
      <c r="AF143" s="446"/>
      <c r="AG143" s="446"/>
      <c r="AH143" s="446"/>
      <c r="AI143" s="446"/>
      <c r="AJ143" s="446"/>
      <c r="AK143" s="640" t="s">
        <v>128</v>
      </c>
      <c r="AL143" s="637"/>
      <c r="AM143" s="637"/>
      <c r="AN143" s="637"/>
      <c r="AO143" s="696" t="s">
        <v>132</v>
      </c>
      <c r="AP143" s="446"/>
      <c r="AQ143" s="446"/>
      <c r="AR143" s="446"/>
      <c r="AS143" s="446"/>
      <c r="AT143" s="446"/>
      <c r="AU143" s="446"/>
      <c r="AV143" s="446"/>
      <c r="AW143" s="446"/>
      <c r="AX143" s="446"/>
      <c r="AY143" s="446"/>
      <c r="AZ143" s="446"/>
      <c r="BA143" s="446"/>
      <c r="BB143" s="446"/>
      <c r="BC143" s="446"/>
      <c r="BG143" s="260">
        <v>33</v>
      </c>
      <c r="BH143" s="261">
        <f t="shared" si="7"/>
        <v>903</v>
      </c>
      <c r="BI143" s="31">
        <f t="shared" si="8"/>
        <v>903</v>
      </c>
      <c r="BJ143" s="263">
        <f t="shared" si="4"/>
        <v>702.49635918281058</v>
      </c>
      <c r="BK143" s="264">
        <f t="shared" si="5"/>
        <v>702.49635918281058</v>
      </c>
      <c r="BL143" s="264">
        <f t="shared" si="9"/>
        <v>14.496359182810608</v>
      </c>
      <c r="BM143" s="264" t="b">
        <f t="shared" si="6"/>
        <v>0</v>
      </c>
      <c r="BN143" s="266">
        <v>33</v>
      </c>
      <c r="BO143" s="197"/>
      <c r="BP143" s="197"/>
      <c r="BQ143" s="197"/>
    </row>
    <row r="144" spans="2:110" ht="21.75" customHeight="1" thickBot="1" x14ac:dyDescent="0.35">
      <c r="V144" s="446"/>
      <c r="W144" s="446"/>
      <c r="X144" s="446"/>
      <c r="Y144" s="446"/>
      <c r="Z144" s="446"/>
      <c r="AA144" s="446"/>
      <c r="AB144" s="446"/>
      <c r="AC144" s="446"/>
      <c r="AD144" s="446"/>
      <c r="AE144" s="446"/>
      <c r="AF144" s="446"/>
      <c r="AG144" s="446"/>
      <c r="AH144" s="446"/>
      <c r="AI144" s="446"/>
      <c r="AJ144" s="446"/>
      <c r="AK144" s="697" t="s">
        <v>129</v>
      </c>
      <c r="AL144" s="640" t="s">
        <v>130</v>
      </c>
      <c r="AM144" s="640" t="s">
        <v>131</v>
      </c>
      <c r="AN144" s="641" t="s">
        <v>135</v>
      </c>
      <c r="AO144" s="642" t="s">
        <v>133</v>
      </c>
      <c r="AP144" s="446"/>
      <c r="AQ144" s="446"/>
      <c r="AR144" s="446"/>
      <c r="AS144" s="446"/>
      <c r="AT144" s="446"/>
      <c r="AU144" s="446"/>
      <c r="AV144" s="446"/>
      <c r="AW144" s="446"/>
      <c r="AX144" s="446"/>
      <c r="AY144" s="446"/>
      <c r="AZ144" s="446"/>
      <c r="BA144" s="446"/>
      <c r="BB144" s="446"/>
      <c r="BC144" s="446"/>
      <c r="BG144" s="260">
        <v>34</v>
      </c>
      <c r="BH144" s="261">
        <f t="shared" si="7"/>
        <v>946</v>
      </c>
      <c r="BI144" s="31">
        <f t="shared" si="8"/>
        <v>946</v>
      </c>
      <c r="BJ144" s="263">
        <f t="shared" si="4"/>
        <v>745.49635918281058</v>
      </c>
      <c r="BK144" s="264">
        <f t="shared" si="5"/>
        <v>745.49635918281058</v>
      </c>
      <c r="BL144" s="264">
        <f t="shared" si="9"/>
        <v>14.496359182810608</v>
      </c>
      <c r="BM144" s="264" t="b">
        <f t="shared" si="6"/>
        <v>0</v>
      </c>
      <c r="BN144" s="266">
        <v>34</v>
      </c>
      <c r="BO144" s="197"/>
      <c r="BP144" s="197"/>
      <c r="BQ144" s="197"/>
    </row>
    <row r="145" spans="1:79" ht="88.5" customHeight="1" thickBot="1" x14ac:dyDescent="0.35">
      <c r="B145" s="492" t="s">
        <v>228</v>
      </c>
      <c r="C145" s="493"/>
      <c r="D145" s="494"/>
      <c r="E145" s="495"/>
      <c r="F145" s="495"/>
      <c r="G145" s="495"/>
      <c r="H145" s="496"/>
      <c r="I145" s="496"/>
      <c r="J145" s="496"/>
      <c r="K145" s="496"/>
      <c r="L145" s="496"/>
      <c r="M145" s="496"/>
      <c r="N145" s="496"/>
      <c r="O145" s="496"/>
      <c r="P145" s="496"/>
      <c r="Q145" s="496"/>
      <c r="R145" s="496"/>
      <c r="S145" s="496" t="s">
        <v>73</v>
      </c>
      <c r="T145" s="497">
        <f>SUM(V149:V168)/B146</f>
        <v>211.0008</v>
      </c>
      <c r="U145" s="498"/>
      <c r="V145" s="446"/>
      <c r="W145" s="1021" t="s">
        <v>281</v>
      </c>
      <c r="X145" s="499" t="s">
        <v>83</v>
      </c>
      <c r="Y145" s="1021" t="s">
        <v>282</v>
      </c>
      <c r="Z145" s="500" t="s">
        <v>84</v>
      </c>
      <c r="AA145" s="500" t="s">
        <v>85</v>
      </c>
      <c r="AB145" s="446"/>
      <c r="AC145" s="446"/>
      <c r="AD145" s="446"/>
      <c r="AE145" s="446"/>
      <c r="AF145" s="446"/>
      <c r="AG145" s="446"/>
      <c r="AH145" s="446"/>
      <c r="AI145" s="446"/>
      <c r="AJ145" s="446"/>
      <c r="AK145" s="697">
        <v>6.8623010000000004</v>
      </c>
      <c r="AL145" s="640">
        <f>+$B$138-AK145</f>
        <v>-6.8623010000000004</v>
      </c>
      <c r="AM145" s="643">
        <f>COS(AL145*3.14159265358979/180)</f>
        <v>0.99283617366519983</v>
      </c>
      <c r="AN145" s="636">
        <f>+AM145*378.71303</f>
        <v>375.99999562235405</v>
      </c>
      <c r="AO145" s="644">
        <f>+((AO149*AQ149)+(AN145*31))/(AQ149+31)</f>
        <v>248.00365451979235</v>
      </c>
      <c r="AP145" s="446"/>
      <c r="AQ145" s="446"/>
      <c r="AR145" s="446"/>
      <c r="AS145" s="446"/>
      <c r="AT145" s="446"/>
      <c r="AU145" s="446"/>
      <c r="AV145" s="446"/>
      <c r="AW145" s="446"/>
      <c r="AX145" s="446"/>
      <c r="AY145" s="446"/>
      <c r="AZ145" s="446"/>
      <c r="BA145" s="446"/>
      <c r="BB145" s="446"/>
      <c r="BC145" s="446"/>
      <c r="BG145" s="260">
        <v>35</v>
      </c>
      <c r="BH145" s="261">
        <f t="shared" si="7"/>
        <v>989</v>
      </c>
      <c r="BI145" s="31">
        <f t="shared" si="8"/>
        <v>989</v>
      </c>
      <c r="BJ145" s="263">
        <f t="shared" si="4"/>
        <v>788.49635918281058</v>
      </c>
      <c r="BK145" s="264">
        <f t="shared" si="5"/>
        <v>788.49635918281058</v>
      </c>
      <c r="BL145" s="264">
        <f t="shared" si="9"/>
        <v>14.496359182810608</v>
      </c>
      <c r="BM145" s="264" t="b">
        <f t="shared" si="6"/>
        <v>0</v>
      </c>
      <c r="BN145" s="266">
        <v>35</v>
      </c>
      <c r="BO145" s="197"/>
      <c r="BP145" s="197"/>
      <c r="BQ145" s="197"/>
    </row>
    <row r="146" spans="1:79" ht="85" thickBot="1" x14ac:dyDescent="0.35">
      <c r="B146" s="22">
        <v>1</v>
      </c>
      <c r="C146" s="501"/>
      <c r="D146" s="502" t="s">
        <v>214</v>
      </c>
      <c r="E146" s="547"/>
      <c r="F146" s="736"/>
      <c r="G146" s="737"/>
      <c r="H146" s="902" t="s">
        <v>227</v>
      </c>
      <c r="I146" s="902" t="s">
        <v>216</v>
      </c>
      <c r="J146" s="737"/>
      <c r="K146" s="737"/>
      <c r="L146" s="737"/>
      <c r="M146" s="737"/>
      <c r="N146" s="737"/>
      <c r="O146" s="737"/>
      <c r="P146" s="737"/>
      <c r="Q146" s="737"/>
      <c r="R146" s="737"/>
      <c r="S146" s="737"/>
      <c r="T146" s="737"/>
      <c r="U146" s="465"/>
      <c r="V146" s="503"/>
      <c r="AB146" s="503"/>
      <c r="AC146" s="503"/>
      <c r="AD146" s="503"/>
      <c r="AE146" s="503"/>
      <c r="AF146" s="503"/>
      <c r="AG146" s="503"/>
      <c r="AH146" s="503"/>
      <c r="AI146" s="503"/>
      <c r="AJ146" s="503"/>
      <c r="AK146" s="503"/>
      <c r="AL146" s="503"/>
      <c r="AM146" s="503"/>
      <c r="AN146" s="503"/>
      <c r="AO146" s="503"/>
      <c r="AP146" s="503"/>
      <c r="AQ146" s="503"/>
      <c r="AR146" s="503"/>
      <c r="AS146" s="503"/>
      <c r="AT146" s="503"/>
      <c r="AU146" s="503"/>
      <c r="AV146" s="503"/>
      <c r="AW146" s="503"/>
      <c r="AX146" s="503"/>
      <c r="AY146" s="503"/>
      <c r="AZ146" s="503"/>
      <c r="BA146" s="1138" t="s">
        <v>46</v>
      </c>
      <c r="BB146" s="1139"/>
      <c r="BC146" s="503"/>
      <c r="BG146" s="260">
        <v>36</v>
      </c>
      <c r="BH146" s="261">
        <f t="shared" si="7"/>
        <v>1032</v>
      </c>
      <c r="BI146" s="31">
        <f t="shared" si="8"/>
        <v>1032</v>
      </c>
      <c r="BJ146" s="263">
        <f t="shared" si="4"/>
        <v>831.49635918281058</v>
      </c>
      <c r="BK146" s="264">
        <f t="shared" si="5"/>
        <v>831.49635918281058</v>
      </c>
      <c r="BL146" s="264">
        <f t="shared" si="9"/>
        <v>14.496359182810608</v>
      </c>
      <c r="BM146" s="264" t="b">
        <f t="shared" si="6"/>
        <v>0</v>
      </c>
      <c r="BN146" s="266">
        <v>36</v>
      </c>
      <c r="BO146" s="197"/>
      <c r="BP146" s="197"/>
      <c r="BQ146" s="197"/>
    </row>
    <row r="147" spans="1:79" ht="54.75" hidden="1" customHeight="1" thickBot="1" x14ac:dyDescent="0.35">
      <c r="C147" s="483"/>
      <c r="D147" s="496" t="s">
        <v>13</v>
      </c>
      <c r="E147" s="496"/>
      <c r="F147" s="496"/>
      <c r="G147" s="496"/>
      <c r="H147" s="903" t="s">
        <v>4</v>
      </c>
      <c r="I147" s="904" t="s">
        <v>1</v>
      </c>
      <c r="J147" s="496" t="s">
        <v>0</v>
      </c>
      <c r="K147" s="496" t="s">
        <v>2</v>
      </c>
      <c r="L147" s="496" t="s">
        <v>3</v>
      </c>
      <c r="M147" s="496" t="s">
        <v>8</v>
      </c>
      <c r="N147" s="496" t="s">
        <v>5</v>
      </c>
      <c r="O147" s="496" t="s">
        <v>6</v>
      </c>
      <c r="P147" s="496" t="s">
        <v>7</v>
      </c>
      <c r="Q147" s="496" t="s">
        <v>9</v>
      </c>
      <c r="R147" s="496" t="s">
        <v>10</v>
      </c>
      <c r="S147" s="496" t="s">
        <v>11</v>
      </c>
      <c r="T147" s="504" t="s">
        <v>12</v>
      </c>
      <c r="U147" s="505"/>
      <c r="V147" s="506"/>
      <c r="W147" s="507"/>
      <c r="X147" s="507"/>
      <c r="Y147" s="507"/>
      <c r="Z147" s="507"/>
      <c r="AA147" s="507"/>
      <c r="AB147" s="987" t="s">
        <v>248</v>
      </c>
      <c r="AC147" s="499" t="s">
        <v>88</v>
      </c>
      <c r="AD147" s="499"/>
      <c r="AE147" s="499"/>
      <c r="AF147" s="1022" t="s">
        <v>284</v>
      </c>
      <c r="AG147" s="506"/>
      <c r="AH147" s="506"/>
      <c r="AI147" s="901" t="s">
        <v>217</v>
      </c>
      <c r="AJ147" s="506"/>
      <c r="AK147" s="901" t="s">
        <v>225</v>
      </c>
      <c r="AL147" s="901" t="s">
        <v>219</v>
      </c>
      <c r="AM147" s="506"/>
      <c r="AN147" s="901" t="s">
        <v>226</v>
      </c>
      <c r="AO147" s="506" t="s">
        <v>274</v>
      </c>
      <c r="AP147" s="901" t="s">
        <v>224</v>
      </c>
      <c r="AQ147" s="901" t="s">
        <v>276</v>
      </c>
      <c r="AR147" s="506"/>
      <c r="AS147" s="506"/>
      <c r="AT147" s="506" t="s">
        <v>277</v>
      </c>
      <c r="AU147" s="506"/>
      <c r="AV147" s="506"/>
      <c r="AW147" s="506"/>
      <c r="AX147" s="490"/>
      <c r="AY147" s="506"/>
      <c r="AZ147" s="506"/>
      <c r="BA147" s="508"/>
      <c r="BB147" s="508"/>
      <c r="BC147" s="506"/>
      <c r="BG147" s="260">
        <v>37</v>
      </c>
      <c r="BH147" s="261">
        <f t="shared" si="7"/>
        <v>1075</v>
      </c>
      <c r="BI147" s="31">
        <f t="shared" si="8"/>
        <v>1075</v>
      </c>
      <c r="BJ147" s="263">
        <f t="shared" si="4"/>
        <v>874.49635918281058</v>
      </c>
      <c r="BK147" s="264">
        <f t="shared" si="5"/>
        <v>874.49635918281058</v>
      </c>
      <c r="BL147" s="264">
        <f t="shared" si="9"/>
        <v>14.496359182810608</v>
      </c>
      <c r="BM147" s="264" t="b">
        <f t="shared" si="6"/>
        <v>0</v>
      </c>
      <c r="BN147" s="272">
        <v>37</v>
      </c>
      <c r="BO147" s="197"/>
      <c r="BP147" s="197"/>
      <c r="BQ147" s="197"/>
    </row>
    <row r="148" spans="1:79" ht="42.75" customHeight="1" thickBot="1" x14ac:dyDescent="0.25">
      <c r="B148" s="509"/>
      <c r="C148" s="510"/>
      <c r="D148" s="511" t="s">
        <v>20</v>
      </c>
      <c r="E148" s="512"/>
      <c r="F148" s="511"/>
      <c r="G148" s="513"/>
      <c r="H148" s="370"/>
      <c r="I148" s="371"/>
      <c r="J148" s="514"/>
      <c r="K148" s="514"/>
      <c r="L148" s="514"/>
      <c r="M148" s="514"/>
      <c r="N148" s="514"/>
      <c r="O148" s="514"/>
      <c r="P148" s="514"/>
      <c r="Q148" s="514"/>
      <c r="R148" s="514"/>
      <c r="S148" s="514"/>
      <c r="T148" s="515"/>
      <c r="U148" s="516"/>
      <c r="V148" s="517"/>
      <c r="W148" s="518"/>
      <c r="X148" s="518"/>
      <c r="Y148" s="518"/>
      <c r="Z148" s="518"/>
      <c r="AA148" s="518"/>
      <c r="AB148" s="517"/>
      <c r="AC148" s="1019">
        <f>SUM(AC149:AC174)</f>
        <v>211.0008</v>
      </c>
      <c r="AD148" s="519"/>
      <c r="AE148" s="519"/>
      <c r="AF148" s="520" t="s">
        <v>36</v>
      </c>
      <c r="AG148" s="520" t="s">
        <v>29</v>
      </c>
      <c r="AH148" s="520"/>
      <c r="AI148" s="905" t="s">
        <v>218</v>
      </c>
      <c r="AJ148" s="521" t="s">
        <v>30</v>
      </c>
      <c r="AK148" s="1016" t="s">
        <v>31</v>
      </c>
      <c r="AL148" s="905" t="s">
        <v>220</v>
      </c>
      <c r="AM148" s="520" t="s">
        <v>32</v>
      </c>
      <c r="AN148" s="905" t="s">
        <v>33</v>
      </c>
      <c r="AO148" s="520" t="s">
        <v>45</v>
      </c>
      <c r="AP148" s="1017" t="s">
        <v>34</v>
      </c>
      <c r="AQ148" s="520" t="s">
        <v>275</v>
      </c>
      <c r="AR148" s="520" t="s">
        <v>35</v>
      </c>
      <c r="AS148" s="520" t="s">
        <v>37</v>
      </c>
      <c r="AT148" s="520" t="s">
        <v>278</v>
      </c>
      <c r="AU148" s="520" t="s">
        <v>38</v>
      </c>
      <c r="AV148" s="522" t="s">
        <v>39</v>
      </c>
      <c r="AW148" s="522" t="s">
        <v>40</v>
      </c>
      <c r="AX148" s="523" t="s">
        <v>21</v>
      </c>
      <c r="AY148" s="523" t="s">
        <v>22</v>
      </c>
      <c r="AZ148" s="523"/>
      <c r="BA148" s="524" t="s">
        <v>21</v>
      </c>
      <c r="BB148" s="524" t="s">
        <v>22</v>
      </c>
      <c r="BH148" s="294"/>
    </row>
    <row r="149" spans="1:79" ht="18.75" customHeight="1" thickBot="1" x14ac:dyDescent="0.25">
      <c r="B149" s="232">
        <v>1</v>
      </c>
      <c r="C149" s="233">
        <f>+(B138*-1)+D149</f>
        <v>0</v>
      </c>
      <c r="D149" s="16">
        <v>0</v>
      </c>
      <c r="E149" s="234" t="s">
        <v>106</v>
      </c>
      <c r="F149" s="235"/>
      <c r="G149" s="235">
        <f>+D149</f>
        <v>0</v>
      </c>
      <c r="H149" s="888">
        <v>251.073172</v>
      </c>
      <c r="I149" s="889">
        <v>65.636175100000003</v>
      </c>
      <c r="J149" s="374">
        <f>+I149-C149</f>
        <v>65.636175100000003</v>
      </c>
      <c r="K149" s="374">
        <f t="shared" ref="K149:K174" si="11">+J149/2</f>
        <v>32.818087550000001</v>
      </c>
      <c r="L149" s="374">
        <f t="shared" ref="L149:L174" si="12">SIN(K149*3.14159265358979/180)</f>
        <v>0.54197353948789428</v>
      </c>
      <c r="M149" s="374">
        <f t="shared" ref="M149:M174" si="13">+L149*H149</f>
        <v>136.07501569929286</v>
      </c>
      <c r="N149" s="374">
        <f t="shared" ref="N149:N174" si="14">+M149*2</f>
        <v>272.15003139858572</v>
      </c>
      <c r="O149" s="374">
        <f>+C149/2</f>
        <v>0</v>
      </c>
      <c r="P149" s="374">
        <f t="shared" ref="P149:P174" si="15">SIN(O149*3.14159265358979/180)</f>
        <v>0</v>
      </c>
      <c r="Q149" s="374">
        <f t="shared" ref="Q149:Q174" si="16">+P149*N149</f>
        <v>0</v>
      </c>
      <c r="R149" s="963">
        <v>211.0008</v>
      </c>
      <c r="S149" s="374">
        <f>+R149+Q149</f>
        <v>211.0008</v>
      </c>
      <c r="T149" s="375">
        <f t="shared" ref="T149:T174" si="17">+S149</f>
        <v>211.0008</v>
      </c>
      <c r="U149" s="48"/>
      <c r="V149" s="929">
        <f t="shared" ref="V149:V174" si="18">IF(B149&lt;($B$146+1),T149,0)</f>
        <v>211.0008</v>
      </c>
      <c r="W149" s="340">
        <v>32.818087599999998</v>
      </c>
      <c r="X149" s="340">
        <f>+W149+AH175</f>
        <v>32.818087599999998</v>
      </c>
      <c r="Y149" s="340">
        <v>251.073172</v>
      </c>
      <c r="Z149" s="340">
        <f>+COS(X149*3.14159265358979/180)*Y149</f>
        <v>211.00077665844503</v>
      </c>
      <c r="AA149" s="340">
        <f>+AC148-Z149</f>
        <v>2.334155496441781E-5</v>
      </c>
      <c r="AB149" s="235" t="str">
        <f>IF(AY149&lt;0,"use the locking pin"," ")</f>
        <v xml:space="preserve"> </v>
      </c>
      <c r="AC149" s="377">
        <f>IF(AD149=1,AF149)</f>
        <v>211.0008</v>
      </c>
      <c r="AD149" s="377">
        <f>MAX(AE$149:AE$174)</f>
        <v>1</v>
      </c>
      <c r="AE149" s="377">
        <f>IF(V149=0,0,1)</f>
        <v>1</v>
      </c>
      <c r="AF149" s="966">
        <f>SUM(V149:V174)/($B$146)</f>
        <v>211.0008</v>
      </c>
      <c r="AG149" s="971">
        <f>C149</f>
        <v>0</v>
      </c>
      <c r="AH149" s="353">
        <f t="shared" ref="AH149:AH174" si="19">IF(B149&lt;($B$146+1),AG149)</f>
        <v>0</v>
      </c>
      <c r="AI149" s="944">
        <f>75.4990086-AG149</f>
        <v>75.499008599999996</v>
      </c>
      <c r="AJ149" s="575">
        <f t="shared" ref="AJ149:AJ174" si="20">SIN(AI149*3.14159265358979/180)</f>
        <v>0.96814330785934066</v>
      </c>
      <c r="AK149" s="944">
        <f>+AJ149*290.642868</f>
        <v>281.38394763124575</v>
      </c>
      <c r="AL149" s="944">
        <f>57.1819124+AG149</f>
        <v>57.181912400000002</v>
      </c>
      <c r="AM149" s="968">
        <f>SIN(AL149*3.14159265358979/180)</f>
        <v>0.84039555073787342</v>
      </c>
      <c r="AN149" s="944">
        <f>+AM149*251.073172</f>
        <v>211.00077665844481</v>
      </c>
      <c r="AO149" s="969">
        <f t="shared" ref="AO149:AO174" si="21">+((AF149*AP149)+($AP$185*($AF$185+$AA$149)))/AQ149</f>
        <v>177.27483858076536</v>
      </c>
      <c r="AP149" s="342">
        <f>$C$10*B146</f>
        <v>29.3</v>
      </c>
      <c r="AQ149" s="347">
        <f t="shared" ref="AQ149:AQ174" si="22">+AP149+$AP$185+1.3</f>
        <v>56.099999999999994</v>
      </c>
      <c r="AR149" s="347">
        <f>+AN149+AK149</f>
        <v>492.38472428969055</v>
      </c>
      <c r="AS149" s="348">
        <f t="shared" ref="AS149:AS174" si="23">+V149-AN149</f>
        <v>2.3341555191791485E-5</v>
      </c>
      <c r="AT149" s="348">
        <f>+AO149-AS149</f>
        <v>177.27481523921017</v>
      </c>
      <c r="AU149" s="348"/>
      <c r="AV149" s="350">
        <f>+((AR149-AT149)/AR149)*AQ149</f>
        <v>35.90214120316908</v>
      </c>
      <c r="AW149" s="350">
        <f>+(AT149/AR149)*AQ149</f>
        <v>20.197858796830911</v>
      </c>
      <c r="AX149" s="351">
        <f t="shared" ref="AX149:AX174" si="24">2*$D$13/AV149</f>
        <v>323.10050630005514</v>
      </c>
      <c r="AY149" s="351">
        <f t="shared" ref="AY149:AY174" si="25">$F$13/AW149</f>
        <v>495.10198583866833</v>
      </c>
      <c r="AZ149" s="1043"/>
      <c r="BA149" s="241">
        <f t="shared" ref="BA149:BA174" si="26">ABS(AX149)</f>
        <v>323.10050630005514</v>
      </c>
      <c r="BB149" s="242">
        <f t="shared" ref="BB149:BB174" si="27">ABS(AY149)</f>
        <v>495.10198583866833</v>
      </c>
      <c r="BC149" s="528"/>
      <c r="BH149" s="294"/>
    </row>
    <row r="150" spans="1:79" ht="18.75" customHeight="1" thickBot="1" x14ac:dyDescent="0.25">
      <c r="B150" s="244">
        <v>2</v>
      </c>
      <c r="C150" s="245"/>
      <c r="D150" s="16">
        <v>1</v>
      </c>
      <c r="E150" s="234" t="s">
        <v>215</v>
      </c>
      <c r="F150" s="235"/>
      <c r="G150" s="235" t="e">
        <f t="shared" ref="G150:G174" si="28">+D150+BC150</f>
        <v>#DIV/0!</v>
      </c>
      <c r="H150" s="888">
        <v>251.073172</v>
      </c>
      <c r="I150" s="889">
        <v>65.636175100000003</v>
      </c>
      <c r="J150" s="374">
        <f t="shared" ref="J150:J174" si="29">+I150-D150</f>
        <v>64.636175100000003</v>
      </c>
      <c r="K150" s="374">
        <f t="shared" si="11"/>
        <v>32.318087550000001</v>
      </c>
      <c r="L150" s="374">
        <f t="shared" si="12"/>
        <v>0.53461916118589337</v>
      </c>
      <c r="M150" s="374">
        <f t="shared" si="13"/>
        <v>134.22852861092153</v>
      </c>
      <c r="N150" s="374">
        <f t="shared" si="14"/>
        <v>268.45705722184306</v>
      </c>
      <c r="O150" s="374">
        <f>+C149+(D150/2)</f>
        <v>0.5</v>
      </c>
      <c r="P150" s="374">
        <f t="shared" si="15"/>
        <v>8.726535498373926E-3</v>
      </c>
      <c r="Q150" s="374">
        <f t="shared" si="16"/>
        <v>2.3427000396354138</v>
      </c>
      <c r="R150" s="374">
        <f t="shared" ref="R150:R174" si="30">+T149</f>
        <v>211.0008</v>
      </c>
      <c r="S150" s="374">
        <f>+R150+Q150</f>
        <v>213.34350003963542</v>
      </c>
      <c r="T150" s="375">
        <f t="shared" si="17"/>
        <v>213.34350003963542</v>
      </c>
      <c r="U150" s="48"/>
      <c r="V150" s="929">
        <f t="shared" si="18"/>
        <v>0</v>
      </c>
      <c r="W150" s="340"/>
      <c r="X150" s="340"/>
      <c r="Y150" s="340"/>
      <c r="Z150" s="340"/>
      <c r="AA150" s="340"/>
      <c r="AB150" s="247" t="e">
        <f>IF(AY150&lt;0,"use the locking pin"," ")</f>
        <v>#DIV/0!</v>
      </c>
      <c r="AC150" s="377" t="b">
        <f>IF(AD150=2,AF150)</f>
        <v>0</v>
      </c>
      <c r="AD150" s="377">
        <f t="shared" ref="AD150:AD174" si="31">MAX(AE$149:AE$174)</f>
        <v>1</v>
      </c>
      <c r="AE150" s="377">
        <f>IF(V150=0,0,2)</f>
        <v>0</v>
      </c>
      <c r="AF150" s="966" t="e">
        <f>SUM(V150:V174)/($B$146-B149)</f>
        <v>#DIV/0!</v>
      </c>
      <c r="AG150" s="971">
        <f>SUM(D150)+$C$149</f>
        <v>1</v>
      </c>
      <c r="AH150" s="353" t="b">
        <f t="shared" si="19"/>
        <v>0</v>
      </c>
      <c r="AI150" s="944">
        <f t="shared" ref="AI150:AI174" si="32">75.4990086-AG150</f>
        <v>74.499008599999996</v>
      </c>
      <c r="AJ150" s="575">
        <f t="shared" si="20"/>
        <v>0.96362582898684701</v>
      </c>
      <c r="AK150" s="944">
        <f t="shared" ref="AK150:AK174" si="33">+AJ150*290.642868</f>
        <v>280.07097461561477</v>
      </c>
      <c r="AL150" s="944">
        <f t="shared" ref="AL150:AL174" si="34">57.1819124+AG150</f>
        <v>58.181912400000002</v>
      </c>
      <c r="AM150" s="968">
        <f t="shared" ref="AM150:AM174" si="35">SIN(AL150*3.14159265358979/180)</f>
        <v>0.84972629692714396</v>
      </c>
      <c r="AN150" s="944">
        <f t="shared" ref="AN150:AN174" si="36">+AM150*251.073172</f>
        <v>213.34347670131189</v>
      </c>
      <c r="AO150" s="969" t="e">
        <f t="shared" si="21"/>
        <v>#DIV/0!</v>
      </c>
      <c r="AP150" s="251">
        <f>$C$10*($B$146-B149)</f>
        <v>0</v>
      </c>
      <c r="AQ150" s="347">
        <f t="shared" si="22"/>
        <v>26.8</v>
      </c>
      <c r="AR150" s="347">
        <f t="shared" ref="AR150:AR174" si="37">+AN150+AK150</f>
        <v>493.41445131692666</v>
      </c>
      <c r="AS150" s="348">
        <f t="shared" si="23"/>
        <v>-213.34347670131189</v>
      </c>
      <c r="AT150" s="348" t="e">
        <f t="shared" ref="AT150:AT174" si="38">+AO150-AS150</f>
        <v>#DIV/0!</v>
      </c>
      <c r="AU150" s="348"/>
      <c r="AV150" s="350" t="e">
        <f t="shared" ref="AV150:AV174" si="39">+((AR150-AT150)/AR150)*AQ150</f>
        <v>#DIV/0!</v>
      </c>
      <c r="AW150" s="350" t="e">
        <f t="shared" ref="AW150:AW174" si="40">+(AT150/AR150)*AQ150</f>
        <v>#DIV/0!</v>
      </c>
      <c r="AX150" s="351" t="e">
        <f t="shared" si="24"/>
        <v>#DIV/0!</v>
      </c>
      <c r="AY150" s="351" t="e">
        <f t="shared" si="25"/>
        <v>#DIV/0!</v>
      </c>
      <c r="AZ150" s="1043"/>
      <c r="BA150" s="241" t="e">
        <f t="shared" si="26"/>
        <v>#DIV/0!</v>
      </c>
      <c r="BB150" s="256" t="e">
        <f t="shared" si="27"/>
        <v>#DIV/0!</v>
      </c>
      <c r="BC150" s="437" t="e">
        <f t="shared" ref="BC150:BC174" si="41">IF(AY150&lt;0,0.3,0)</f>
        <v>#DIV/0!</v>
      </c>
      <c r="BH150" s="294"/>
    </row>
    <row r="151" spans="1:79" ht="18.75" customHeight="1" thickBot="1" x14ac:dyDescent="0.25">
      <c r="B151" s="244">
        <v>3</v>
      </c>
      <c r="C151" s="245"/>
      <c r="D151" s="16">
        <v>1</v>
      </c>
      <c r="E151" s="234" t="s">
        <v>215</v>
      </c>
      <c r="F151" s="235"/>
      <c r="G151" s="235">
        <f t="shared" si="28"/>
        <v>1</v>
      </c>
      <c r="H151" s="888">
        <v>251.073172</v>
      </c>
      <c r="I151" s="889">
        <v>65.636175100000003</v>
      </c>
      <c r="J151" s="374">
        <f t="shared" si="29"/>
        <v>64.636175100000003</v>
      </c>
      <c r="K151" s="374">
        <f t="shared" si="11"/>
        <v>32.318087550000001</v>
      </c>
      <c r="L151" s="374">
        <f t="shared" si="12"/>
        <v>0.53461916118589337</v>
      </c>
      <c r="M151" s="374">
        <f t="shared" si="13"/>
        <v>134.22852861092153</v>
      </c>
      <c r="N151" s="374">
        <f t="shared" si="14"/>
        <v>268.45705722184306</v>
      </c>
      <c r="O151" s="374">
        <f>+C149+D150+(D151/2)</f>
        <v>1.5</v>
      </c>
      <c r="P151" s="374">
        <f t="shared" si="15"/>
        <v>2.6176948307873125E-2</v>
      </c>
      <c r="Q151" s="374">
        <f t="shared" si="16"/>
        <v>7.0273865097799231</v>
      </c>
      <c r="R151" s="374">
        <f t="shared" si="30"/>
        <v>213.34350003963542</v>
      </c>
      <c r="S151" s="374">
        <f t="shared" ref="S151:S174" si="42">+S150+Q151</f>
        <v>220.37088654941533</v>
      </c>
      <c r="T151" s="375">
        <f t="shared" si="17"/>
        <v>220.37088654941533</v>
      </c>
      <c r="U151" s="48"/>
      <c r="V151" s="929">
        <f t="shared" si="18"/>
        <v>0</v>
      </c>
      <c r="W151" s="340"/>
      <c r="X151" s="340"/>
      <c r="Y151" s="340"/>
      <c r="Z151" s="340"/>
      <c r="AA151" s="340"/>
      <c r="AB151" s="257" t="str">
        <f t="shared" ref="AB151:AB174" si="43">IF(AY151&lt;0,"use the locking pin"," ")</f>
        <v xml:space="preserve"> </v>
      </c>
      <c r="AC151" s="377" t="b">
        <f>IF(AD151=3,AF151)</f>
        <v>0</v>
      </c>
      <c r="AD151" s="377">
        <f t="shared" si="31"/>
        <v>1</v>
      </c>
      <c r="AE151" s="377">
        <f>IF(V151=0,0,3)</f>
        <v>0</v>
      </c>
      <c r="AF151" s="966">
        <f>SUM(V151:V174)/($B$146-B150)</f>
        <v>0</v>
      </c>
      <c r="AG151" s="971">
        <f>SUM(D150:D151)+$C$149</f>
        <v>2</v>
      </c>
      <c r="AH151" s="353" t="b">
        <f t="shared" si="19"/>
        <v>0</v>
      </c>
      <c r="AI151" s="944">
        <f t="shared" si="32"/>
        <v>73.499008599999996</v>
      </c>
      <c r="AJ151" s="575">
        <f t="shared" si="20"/>
        <v>0.95881482035199095</v>
      </c>
      <c r="AK151" s="944">
        <f t="shared" si="33"/>
        <v>278.67268926800745</v>
      </c>
      <c r="AL151" s="944">
        <f t="shared" si="34"/>
        <v>59.181912400000002</v>
      </c>
      <c r="AM151" s="968">
        <f t="shared" si="35"/>
        <v>0.85879820825488717</v>
      </c>
      <c r="AN151" s="944">
        <f t="shared" si="36"/>
        <v>215.62119025447112</v>
      </c>
      <c r="AO151" s="969">
        <f t="shared" si="21"/>
        <v>-1505.1180017523743</v>
      </c>
      <c r="AP151" s="251">
        <f t="shared" ref="AP151:AP174" si="44">$C$10*($B$146-B150)</f>
        <v>-29.3</v>
      </c>
      <c r="AQ151" s="347">
        <f t="shared" si="22"/>
        <v>-2.5000000000000009</v>
      </c>
      <c r="AR151" s="347">
        <f t="shared" si="37"/>
        <v>494.29387952247856</v>
      </c>
      <c r="AS151" s="348">
        <f t="shared" si="23"/>
        <v>-215.62119025447112</v>
      </c>
      <c r="AT151" s="348">
        <f t="shared" si="38"/>
        <v>-1289.4968114979033</v>
      </c>
      <c r="AU151" s="348"/>
      <c r="AV151" s="350">
        <f t="shared" si="39"/>
        <v>-9.0219137082156742</v>
      </c>
      <c r="AW151" s="350">
        <f t="shared" si="40"/>
        <v>6.5219137082156733</v>
      </c>
      <c r="AX151" s="351">
        <f t="shared" si="24"/>
        <v>-1285.7582520919734</v>
      </c>
      <c r="AY151" s="351">
        <f t="shared" si="25"/>
        <v>1533.292289255985</v>
      </c>
      <c r="AZ151" s="1043"/>
      <c r="BA151" s="241">
        <f t="shared" si="26"/>
        <v>1285.7582520919734</v>
      </c>
      <c r="BB151" s="242">
        <f t="shared" si="27"/>
        <v>1533.292289255985</v>
      </c>
      <c r="BC151" s="437">
        <f t="shared" si="41"/>
        <v>0</v>
      </c>
      <c r="BH151" s="294"/>
    </row>
    <row r="152" spans="1:79" ht="18.75" customHeight="1" thickBot="1" x14ac:dyDescent="0.25">
      <c r="B152" s="244">
        <v>4</v>
      </c>
      <c r="C152" s="245"/>
      <c r="D152" s="16">
        <v>1</v>
      </c>
      <c r="E152" s="234" t="s">
        <v>215</v>
      </c>
      <c r="F152" s="235"/>
      <c r="G152" s="235">
        <f t="shared" si="28"/>
        <v>1.3</v>
      </c>
      <c r="H152" s="888">
        <v>251.073172</v>
      </c>
      <c r="I152" s="889">
        <v>65.636175100000003</v>
      </c>
      <c r="J152" s="374">
        <f t="shared" si="29"/>
        <v>64.636175100000003</v>
      </c>
      <c r="K152" s="374">
        <f t="shared" si="11"/>
        <v>32.318087550000001</v>
      </c>
      <c r="L152" s="374">
        <f t="shared" si="12"/>
        <v>0.53461916118589337</v>
      </c>
      <c r="M152" s="374">
        <f t="shared" si="13"/>
        <v>134.22852861092153</v>
      </c>
      <c r="N152" s="374">
        <f t="shared" si="14"/>
        <v>268.45705722184306</v>
      </c>
      <c r="O152" s="374">
        <f>+C149+D150+D151+(D152/2)</f>
        <v>2.5</v>
      </c>
      <c r="P152" s="374">
        <f t="shared" si="15"/>
        <v>4.3619387365335958E-2</v>
      </c>
      <c r="Q152" s="374">
        <f t="shared" si="16"/>
        <v>11.709932369917734</v>
      </c>
      <c r="R152" s="374">
        <f t="shared" si="30"/>
        <v>220.37088654941533</v>
      </c>
      <c r="S152" s="374">
        <f t="shared" si="42"/>
        <v>232.08081891933307</v>
      </c>
      <c r="T152" s="375">
        <f t="shared" si="17"/>
        <v>232.08081891933307</v>
      </c>
      <c r="U152" s="48"/>
      <c r="V152" s="929">
        <f t="shared" si="18"/>
        <v>0</v>
      </c>
      <c r="W152" s="340"/>
      <c r="X152" s="340"/>
      <c r="Y152" s="340"/>
      <c r="Z152" s="340"/>
      <c r="AA152" s="340"/>
      <c r="AB152" s="257" t="str">
        <f t="shared" si="43"/>
        <v>use the locking pin</v>
      </c>
      <c r="AC152" s="377" t="b">
        <f>IF(AD152=4,AF152)</f>
        <v>0</v>
      </c>
      <c r="AD152" s="377">
        <f t="shared" si="31"/>
        <v>1</v>
      </c>
      <c r="AE152" s="377">
        <f>IF(V152=0,0,4)</f>
        <v>0</v>
      </c>
      <c r="AF152" s="966">
        <f>SUM(V152:V174)/($B$146-B151)</f>
        <v>0</v>
      </c>
      <c r="AG152" s="971">
        <f>SUM(D150:D152)+$C$149</f>
        <v>3</v>
      </c>
      <c r="AH152" s="353" t="b">
        <f t="shared" si="19"/>
        <v>0</v>
      </c>
      <c r="AI152" s="944">
        <f t="shared" si="32"/>
        <v>72.499008599999996</v>
      </c>
      <c r="AJ152" s="575">
        <f t="shared" si="20"/>
        <v>0.95371174743460796</v>
      </c>
      <c r="AK152" s="944">
        <f t="shared" si="33"/>
        <v>277.18951751968609</v>
      </c>
      <c r="AL152" s="944">
        <f t="shared" si="34"/>
        <v>60.181912400000002</v>
      </c>
      <c r="AM152" s="968">
        <f t="shared" si="35"/>
        <v>0.86760852132903066</v>
      </c>
      <c r="AN152" s="944">
        <f t="shared" si="36"/>
        <v>217.83322350430939</v>
      </c>
      <c r="AO152" s="969">
        <f t="shared" si="21"/>
        <v>-118.32688693021814</v>
      </c>
      <c r="AP152" s="251">
        <f t="shared" si="44"/>
        <v>-58.6</v>
      </c>
      <c r="AQ152" s="347">
        <f t="shared" si="22"/>
        <v>-31.8</v>
      </c>
      <c r="AR152" s="347">
        <f t="shared" si="37"/>
        <v>495.02274102399548</v>
      </c>
      <c r="AS152" s="348">
        <f t="shared" si="23"/>
        <v>-217.83322350430939</v>
      </c>
      <c r="AT152" s="348">
        <f t="shared" si="38"/>
        <v>99.50633657409125</v>
      </c>
      <c r="AU152" s="348"/>
      <c r="AV152" s="350">
        <f t="shared" si="39"/>
        <v>-25.407765379605628</v>
      </c>
      <c r="AW152" s="350">
        <f t="shared" si="40"/>
        <v>-6.3922346203943734</v>
      </c>
      <c r="AX152" s="351">
        <f t="shared" si="24"/>
        <v>-456.55333425390955</v>
      </c>
      <c r="AY152" s="351">
        <f t="shared" si="25"/>
        <v>-1564.398147729916</v>
      </c>
      <c r="AZ152" s="1043"/>
      <c r="BA152" s="241">
        <f t="shared" si="26"/>
        <v>456.55333425390955</v>
      </c>
      <c r="BB152" s="242">
        <f t="shared" si="27"/>
        <v>1564.398147729916</v>
      </c>
      <c r="BC152" s="437">
        <f t="shared" si="41"/>
        <v>0.3</v>
      </c>
      <c r="BH152" s="294"/>
    </row>
    <row r="153" spans="1:79" ht="18.75" customHeight="1" thickBot="1" x14ac:dyDescent="0.25">
      <c r="B153" s="244">
        <v>5</v>
      </c>
      <c r="C153" s="245"/>
      <c r="D153" s="16">
        <v>1</v>
      </c>
      <c r="E153" s="234" t="s">
        <v>215</v>
      </c>
      <c r="F153" s="235"/>
      <c r="G153" s="235">
        <f t="shared" si="28"/>
        <v>1.3</v>
      </c>
      <c r="H153" s="888">
        <v>251.073172</v>
      </c>
      <c r="I153" s="889">
        <v>65.636175100000003</v>
      </c>
      <c r="J153" s="374">
        <f t="shared" si="29"/>
        <v>64.636175100000003</v>
      </c>
      <c r="K153" s="374">
        <f t="shared" si="11"/>
        <v>32.318087550000001</v>
      </c>
      <c r="L153" s="374">
        <f t="shared" si="12"/>
        <v>0.53461916118589337</v>
      </c>
      <c r="M153" s="374">
        <f t="shared" si="13"/>
        <v>134.22852861092153</v>
      </c>
      <c r="N153" s="374">
        <f t="shared" si="14"/>
        <v>268.45705722184306</v>
      </c>
      <c r="O153" s="374">
        <f>+C149+D150+D151+D152+(D153/2)</f>
        <v>3.5</v>
      </c>
      <c r="P153" s="374">
        <f t="shared" si="15"/>
        <v>6.1048539534856811E-2</v>
      </c>
      <c r="Q153" s="374">
        <f t="shared" si="16"/>
        <v>16.388911271219001</v>
      </c>
      <c r="R153" s="374">
        <f t="shared" si="30"/>
        <v>232.08081891933307</v>
      </c>
      <c r="S153" s="374">
        <f t="shared" si="42"/>
        <v>248.46973019055207</v>
      </c>
      <c r="T153" s="375">
        <f t="shared" si="17"/>
        <v>248.46973019055207</v>
      </c>
      <c r="U153" s="48"/>
      <c r="V153" s="929">
        <f t="shared" si="18"/>
        <v>0</v>
      </c>
      <c r="W153" s="340"/>
      <c r="X153" s="340"/>
      <c r="Y153" s="340"/>
      <c r="Z153" s="340"/>
      <c r="AA153" s="340"/>
      <c r="AB153" s="257" t="str">
        <f t="shared" si="43"/>
        <v>use the locking pin</v>
      </c>
      <c r="AC153" s="377" t="b">
        <f>IF(AD153=5,AF153)</f>
        <v>0</v>
      </c>
      <c r="AD153" s="377">
        <f t="shared" si="31"/>
        <v>1</v>
      </c>
      <c r="AE153" s="377">
        <f>IF(V153=0,0,5)</f>
        <v>0</v>
      </c>
      <c r="AF153" s="966">
        <f>SUM(V153:V174)/($B$146-B152)</f>
        <v>0</v>
      </c>
      <c r="AG153" s="971">
        <f>SUM(D150:D153)+$C$149</f>
        <v>4</v>
      </c>
      <c r="AH153" s="353" t="b">
        <f t="shared" si="19"/>
        <v>0</v>
      </c>
      <c r="AI153" s="944">
        <f t="shared" si="32"/>
        <v>71.499008599999996</v>
      </c>
      <c r="AJ153" s="575">
        <f t="shared" si="20"/>
        <v>0.94831816468014318</v>
      </c>
      <c r="AK153" s="944">
        <f t="shared" si="33"/>
        <v>275.62191115913316</v>
      </c>
      <c r="AL153" s="944">
        <f t="shared" si="34"/>
        <v>61.181912400000002</v>
      </c>
      <c r="AM153" s="968">
        <f t="shared" si="35"/>
        <v>0.87615455244286489</v>
      </c>
      <c r="AN153" s="944">
        <f t="shared" si="36"/>
        <v>219.97890264407044</v>
      </c>
      <c r="AO153" s="969">
        <f t="shared" si="21"/>
        <v>-61.584206291013686</v>
      </c>
      <c r="AP153" s="251">
        <f t="shared" si="44"/>
        <v>-87.9</v>
      </c>
      <c r="AQ153" s="347">
        <f t="shared" si="22"/>
        <v>-61.100000000000009</v>
      </c>
      <c r="AR153" s="347">
        <f t="shared" si="37"/>
        <v>495.60081380320361</v>
      </c>
      <c r="AS153" s="348">
        <f t="shared" si="23"/>
        <v>-219.97890264407044</v>
      </c>
      <c r="AT153" s="348">
        <f t="shared" si="38"/>
        <v>158.39469635305676</v>
      </c>
      <c r="AU153" s="348"/>
      <c r="AV153" s="350">
        <f t="shared" si="39"/>
        <v>-41.572356627294127</v>
      </c>
      <c r="AW153" s="350">
        <f t="shared" si="40"/>
        <v>-19.527643372705882</v>
      </c>
      <c r="AX153" s="351">
        <f t="shared" si="24"/>
        <v>-279.03157148382769</v>
      </c>
      <c r="AY153" s="351">
        <f t="shared" si="25"/>
        <v>-512.09456303248396</v>
      </c>
      <c r="AZ153" s="1043"/>
      <c r="BA153" s="241">
        <f t="shared" si="26"/>
        <v>279.03157148382769</v>
      </c>
      <c r="BB153" s="242">
        <f t="shared" si="27"/>
        <v>512.09456303248396</v>
      </c>
      <c r="BC153" s="437">
        <f t="shared" si="41"/>
        <v>0.3</v>
      </c>
      <c r="BH153" s="294"/>
    </row>
    <row r="154" spans="1:79" ht="18.75" customHeight="1" thickBot="1" x14ac:dyDescent="0.25">
      <c r="B154" s="244">
        <v>6</v>
      </c>
      <c r="C154" s="245"/>
      <c r="D154" s="16">
        <v>1</v>
      </c>
      <c r="E154" s="234" t="s">
        <v>215</v>
      </c>
      <c r="F154" s="235"/>
      <c r="G154" s="235">
        <f t="shared" si="28"/>
        <v>1.3</v>
      </c>
      <c r="H154" s="888">
        <v>251.073172</v>
      </c>
      <c r="I154" s="889">
        <v>65.636175100000003</v>
      </c>
      <c r="J154" s="374">
        <f t="shared" si="29"/>
        <v>64.636175100000003</v>
      </c>
      <c r="K154" s="374">
        <f t="shared" si="11"/>
        <v>32.318087550000001</v>
      </c>
      <c r="L154" s="374">
        <f t="shared" si="12"/>
        <v>0.53461916118589337</v>
      </c>
      <c r="M154" s="374">
        <f t="shared" si="13"/>
        <v>134.22852861092153</v>
      </c>
      <c r="N154" s="374">
        <f t="shared" si="14"/>
        <v>268.45705722184306</v>
      </c>
      <c r="O154" s="374">
        <f>+C149+D150+D151+D152+D153+(D154/2)</f>
        <v>4.5</v>
      </c>
      <c r="P154" s="374">
        <f t="shared" si="15"/>
        <v>7.845909572784486E-2</v>
      </c>
      <c r="Q154" s="374">
        <f t="shared" si="16"/>
        <v>21.062897951384109</v>
      </c>
      <c r="R154" s="374">
        <f t="shared" si="30"/>
        <v>248.46973019055207</v>
      </c>
      <c r="S154" s="374">
        <f t="shared" si="42"/>
        <v>269.53262814193619</v>
      </c>
      <c r="T154" s="375">
        <f t="shared" si="17"/>
        <v>269.53262814193619</v>
      </c>
      <c r="U154" s="48"/>
      <c r="V154" s="929">
        <f t="shared" si="18"/>
        <v>0</v>
      </c>
      <c r="W154" s="340"/>
      <c r="X154" s="340"/>
      <c r="Y154" s="340"/>
      <c r="Z154" s="340"/>
      <c r="AA154" s="340"/>
      <c r="AB154" s="257" t="str">
        <f t="shared" si="43"/>
        <v>use the locking pin</v>
      </c>
      <c r="AC154" s="377" t="b">
        <f>IF(AD154=6,AF154)</f>
        <v>0</v>
      </c>
      <c r="AD154" s="377">
        <f t="shared" si="31"/>
        <v>1</v>
      </c>
      <c r="AE154" s="377">
        <f>IF(V154=0,0,6)</f>
        <v>0</v>
      </c>
      <c r="AF154" s="966">
        <f>SUM(V154:V174)/($B$146-B153)</f>
        <v>0</v>
      </c>
      <c r="AG154" s="971">
        <f>SUM(D150:D154)+$C$149</f>
        <v>5</v>
      </c>
      <c r="AH154" s="353" t="b">
        <f t="shared" si="19"/>
        <v>0</v>
      </c>
      <c r="AI154" s="944">
        <f t="shared" si="32"/>
        <v>70.499008599999996</v>
      </c>
      <c r="AJ154" s="575">
        <f t="shared" si="20"/>
        <v>0.94263571502615251</v>
      </c>
      <c r="AK154" s="944">
        <f t="shared" si="33"/>
        <v>273.97034769443167</v>
      </c>
      <c r="AL154" s="944">
        <f t="shared" si="34"/>
        <v>62.181912400000002</v>
      </c>
      <c r="AM154" s="968">
        <f t="shared" si="35"/>
        <v>0.88443369839252528</v>
      </c>
      <c r="AN154" s="944">
        <f t="shared" si="36"/>
        <v>222.05757407910264</v>
      </c>
      <c r="AO154" s="969">
        <f t="shared" si="21"/>
        <v>-41.623838544036907</v>
      </c>
      <c r="AP154" s="251">
        <f t="shared" si="44"/>
        <v>-117.2</v>
      </c>
      <c r="AQ154" s="347">
        <f t="shared" si="22"/>
        <v>-90.4</v>
      </c>
      <c r="AR154" s="347">
        <f t="shared" si="37"/>
        <v>496.02792177353433</v>
      </c>
      <c r="AS154" s="348">
        <f t="shared" si="23"/>
        <v>-222.05757407910264</v>
      </c>
      <c r="AT154" s="348">
        <f t="shared" si="38"/>
        <v>180.43373553506572</v>
      </c>
      <c r="AU154" s="348"/>
      <c r="AV154" s="350">
        <f t="shared" si="39"/>
        <v>-57.51634773693857</v>
      </c>
      <c r="AW154" s="350">
        <f t="shared" si="40"/>
        <v>-32.883652263061435</v>
      </c>
      <c r="AX154" s="351">
        <f t="shared" si="24"/>
        <v>-201.68179059377519</v>
      </c>
      <c r="AY154" s="351">
        <f t="shared" si="25"/>
        <v>-304.10247377640314</v>
      </c>
      <c r="AZ154" s="1043"/>
      <c r="BA154" s="241">
        <f t="shared" si="26"/>
        <v>201.68179059377519</v>
      </c>
      <c r="BB154" s="242">
        <f t="shared" si="27"/>
        <v>304.10247377640314</v>
      </c>
      <c r="BC154" s="437">
        <f t="shared" si="41"/>
        <v>0.3</v>
      </c>
    </row>
    <row r="155" spans="1:79" ht="18.75" customHeight="1" thickBot="1" x14ac:dyDescent="0.25">
      <c r="B155" s="244">
        <v>7</v>
      </c>
      <c r="C155" s="245"/>
      <c r="D155" s="16">
        <v>1</v>
      </c>
      <c r="E155" s="234" t="s">
        <v>215</v>
      </c>
      <c r="F155" s="235"/>
      <c r="G155" s="235">
        <f t="shared" si="28"/>
        <v>1.3</v>
      </c>
      <c r="H155" s="888">
        <v>251.073172</v>
      </c>
      <c r="I155" s="889">
        <v>65.636175100000003</v>
      </c>
      <c r="J155" s="374">
        <f t="shared" si="29"/>
        <v>64.636175100000003</v>
      </c>
      <c r="K155" s="374">
        <f t="shared" si="11"/>
        <v>32.318087550000001</v>
      </c>
      <c r="L155" s="374">
        <f t="shared" si="12"/>
        <v>0.53461916118589337</v>
      </c>
      <c r="M155" s="374">
        <f t="shared" si="13"/>
        <v>134.22852861092153</v>
      </c>
      <c r="N155" s="374">
        <f t="shared" si="14"/>
        <v>268.45705722184306</v>
      </c>
      <c r="O155" s="374">
        <f>+C149+D150+D151+D152+D153+D154+(D155/2)</f>
        <v>5.5</v>
      </c>
      <c r="P155" s="374">
        <f t="shared" si="15"/>
        <v>9.5845752520223898E-2</v>
      </c>
      <c r="Q155" s="374">
        <f t="shared" si="16"/>
        <v>25.730468668792355</v>
      </c>
      <c r="R155" s="374">
        <f t="shared" si="30"/>
        <v>269.53262814193619</v>
      </c>
      <c r="S155" s="374">
        <f t="shared" si="42"/>
        <v>295.26309681072854</v>
      </c>
      <c r="T155" s="375">
        <f t="shared" si="17"/>
        <v>295.26309681072854</v>
      </c>
      <c r="U155" s="48"/>
      <c r="V155" s="929">
        <f t="shared" si="18"/>
        <v>0</v>
      </c>
      <c r="W155" s="340"/>
      <c r="X155" s="340"/>
      <c r="Y155" s="340"/>
      <c r="Z155" s="340"/>
      <c r="AA155" s="340"/>
      <c r="AB155" s="257" t="str">
        <f t="shared" si="43"/>
        <v>use the locking pin</v>
      </c>
      <c r="AC155" s="377" t="b">
        <f>IF(AD155=7,AF155)</f>
        <v>0</v>
      </c>
      <c r="AD155" s="377">
        <f t="shared" si="31"/>
        <v>1</v>
      </c>
      <c r="AE155" s="377">
        <f>IF(V155=0,0,7)</f>
        <v>0</v>
      </c>
      <c r="AF155" s="966">
        <f>SUM(V155:V174)/($B$146-B154)</f>
        <v>0</v>
      </c>
      <c r="AG155" s="971">
        <f>SUM(D150:D155)+$C$149</f>
        <v>6</v>
      </c>
      <c r="AH155" s="353" t="b">
        <f t="shared" si="19"/>
        <v>0</v>
      </c>
      <c r="AI155" s="944">
        <f t="shared" si="32"/>
        <v>69.499008599999996</v>
      </c>
      <c r="AJ155" s="575">
        <f t="shared" si="20"/>
        <v>0.93666612940184768</v>
      </c>
      <c r="AK155" s="944">
        <f t="shared" si="33"/>
        <v>272.23533020781213</v>
      </c>
      <c r="AL155" s="944">
        <f t="shared" si="34"/>
        <v>63.181912400000002</v>
      </c>
      <c r="AM155" s="968">
        <f t="shared" si="35"/>
        <v>0.8924434372699539</v>
      </c>
      <c r="AN155" s="944">
        <f t="shared" si="36"/>
        <v>224.06860462595034</v>
      </c>
      <c r="AO155" s="969">
        <f t="shared" si="21"/>
        <v>-31.435213069180758</v>
      </c>
      <c r="AP155" s="251">
        <f t="shared" si="44"/>
        <v>-146.5</v>
      </c>
      <c r="AQ155" s="347">
        <f t="shared" si="22"/>
        <v>-119.7</v>
      </c>
      <c r="AR155" s="347">
        <f t="shared" si="37"/>
        <v>496.30393483376247</v>
      </c>
      <c r="AS155" s="348">
        <f t="shared" si="23"/>
        <v>-224.06860462595034</v>
      </c>
      <c r="AT155" s="348">
        <f t="shared" si="38"/>
        <v>192.6333915567696</v>
      </c>
      <c r="AU155" s="348"/>
      <c r="AV155" s="350">
        <f t="shared" si="39"/>
        <v>-73.240128636963775</v>
      </c>
      <c r="AW155" s="350">
        <f t="shared" si="40"/>
        <v>-46.459871363036235</v>
      </c>
      <c r="AX155" s="351">
        <f t="shared" si="24"/>
        <v>-158.38311887051441</v>
      </c>
      <c r="AY155" s="351">
        <f t="shared" si="25"/>
        <v>-215.2395111441497</v>
      </c>
      <c r="AZ155" s="1043"/>
      <c r="BA155" s="241">
        <f t="shared" si="26"/>
        <v>158.38311887051441</v>
      </c>
      <c r="BB155" s="242">
        <f t="shared" si="27"/>
        <v>215.2395111441497</v>
      </c>
      <c r="BC155" s="437">
        <f t="shared" si="41"/>
        <v>0.3</v>
      </c>
    </row>
    <row r="156" spans="1:79" ht="18.75" customHeight="1" thickBot="1" x14ac:dyDescent="0.25">
      <c r="B156" s="244">
        <v>8</v>
      </c>
      <c r="C156" s="245"/>
      <c r="D156" s="16">
        <v>1</v>
      </c>
      <c r="E156" s="234" t="s">
        <v>215</v>
      </c>
      <c r="F156" s="235"/>
      <c r="G156" s="235">
        <f t="shared" si="28"/>
        <v>1.3</v>
      </c>
      <c r="H156" s="888">
        <v>251.073172</v>
      </c>
      <c r="I156" s="889">
        <v>65.636175100000003</v>
      </c>
      <c r="J156" s="374">
        <f t="shared" si="29"/>
        <v>64.636175100000003</v>
      </c>
      <c r="K156" s="374">
        <f t="shared" si="11"/>
        <v>32.318087550000001</v>
      </c>
      <c r="L156" s="374">
        <f t="shared" si="12"/>
        <v>0.53461916118589337</v>
      </c>
      <c r="M156" s="374">
        <f t="shared" si="13"/>
        <v>134.22852861092153</v>
      </c>
      <c r="N156" s="374">
        <f t="shared" si="14"/>
        <v>268.45705722184306</v>
      </c>
      <c r="O156" s="374">
        <f>+C149+D150+D151+D152+D153+D154+D155+(D156/2)</f>
        <v>6.5</v>
      </c>
      <c r="P156" s="374">
        <f t="shared" si="15"/>
        <v>0.11320321376790661</v>
      </c>
      <c r="Q156" s="374">
        <f t="shared" si="16"/>
        <v>30.390201636187438</v>
      </c>
      <c r="R156" s="374">
        <f t="shared" si="30"/>
        <v>295.26309681072854</v>
      </c>
      <c r="S156" s="374">
        <f t="shared" si="42"/>
        <v>325.65329844691598</v>
      </c>
      <c r="T156" s="375">
        <f t="shared" si="17"/>
        <v>325.65329844691598</v>
      </c>
      <c r="U156" s="48"/>
      <c r="V156" s="929">
        <f t="shared" si="18"/>
        <v>0</v>
      </c>
      <c r="W156" s="340"/>
      <c r="X156" s="340"/>
      <c r="Y156" s="340"/>
      <c r="Z156" s="340"/>
      <c r="AA156" s="340"/>
      <c r="AB156" s="257" t="str">
        <f t="shared" si="43"/>
        <v>use the locking pin</v>
      </c>
      <c r="AC156" s="377" t="b">
        <f>IF(AD156=8,AF156)</f>
        <v>0</v>
      </c>
      <c r="AD156" s="377">
        <f t="shared" si="31"/>
        <v>1</v>
      </c>
      <c r="AE156" s="377">
        <f>IF(V156=0,0,8)</f>
        <v>0</v>
      </c>
      <c r="AF156" s="966">
        <f>SUM(V156:V174)/($B$146-B155)</f>
        <v>0</v>
      </c>
      <c r="AG156" s="971">
        <f>SUM(D150:D156)+$C$149</f>
        <v>7</v>
      </c>
      <c r="AH156" s="353" t="b">
        <f t="shared" si="19"/>
        <v>0</v>
      </c>
      <c r="AI156" s="944">
        <f t="shared" si="32"/>
        <v>68.499008599999996</v>
      </c>
      <c r="AJ156" s="575">
        <f t="shared" si="20"/>
        <v>0.93041122620083849</v>
      </c>
      <c r="AK156" s="944">
        <f t="shared" si="33"/>
        <v>270.41738720240846</v>
      </c>
      <c r="AL156" s="944">
        <f t="shared" si="34"/>
        <v>64.181912400000002</v>
      </c>
      <c r="AM156" s="968">
        <f t="shared" si="35"/>
        <v>0.90018132923109617</v>
      </c>
      <c r="AN156" s="944">
        <f t="shared" si="36"/>
        <v>226.01138170522765</v>
      </c>
      <c r="AO156" s="969">
        <f t="shared" si="21"/>
        <v>-25.253657747523068</v>
      </c>
      <c r="AP156" s="251">
        <f t="shared" si="44"/>
        <v>-175.8</v>
      </c>
      <c r="AQ156" s="347">
        <f t="shared" si="22"/>
        <v>-149</v>
      </c>
      <c r="AR156" s="347">
        <f t="shared" si="37"/>
        <v>496.42876890763614</v>
      </c>
      <c r="AS156" s="348">
        <f t="shared" si="23"/>
        <v>-226.01138170522765</v>
      </c>
      <c r="AT156" s="348">
        <f t="shared" si="38"/>
        <v>200.75772395770457</v>
      </c>
      <c r="AU156" s="348"/>
      <c r="AV156" s="350">
        <f t="shared" si="39"/>
        <v>-88.743820779122757</v>
      </c>
      <c r="AW156" s="350">
        <f t="shared" si="40"/>
        <v>-60.256179220877257</v>
      </c>
      <c r="AX156" s="351">
        <f t="shared" si="24"/>
        <v>-130.71332627058732</v>
      </c>
      <c r="AY156" s="351">
        <f t="shared" si="25"/>
        <v>-165.95808312610785</v>
      </c>
      <c r="AZ156" s="1043"/>
      <c r="BA156" s="241">
        <f t="shared" si="26"/>
        <v>130.71332627058732</v>
      </c>
      <c r="BB156" s="242">
        <f t="shared" si="27"/>
        <v>165.95808312610785</v>
      </c>
      <c r="BC156" s="437">
        <f t="shared" si="41"/>
        <v>0.3</v>
      </c>
    </row>
    <row r="157" spans="1:79" ht="18.75" customHeight="1" thickBot="1" x14ac:dyDescent="0.25">
      <c r="B157" s="244">
        <v>9</v>
      </c>
      <c r="C157" s="245"/>
      <c r="D157" s="16">
        <v>1</v>
      </c>
      <c r="E157" s="234" t="s">
        <v>215</v>
      </c>
      <c r="F157" s="235"/>
      <c r="G157" s="235">
        <f t="shared" si="28"/>
        <v>1.3</v>
      </c>
      <c r="H157" s="888">
        <v>251.073172</v>
      </c>
      <c r="I157" s="889">
        <v>65.636175100000003</v>
      </c>
      <c r="J157" s="374">
        <f t="shared" si="29"/>
        <v>64.636175100000003</v>
      </c>
      <c r="K157" s="374">
        <f t="shared" si="11"/>
        <v>32.318087550000001</v>
      </c>
      <c r="L157" s="374">
        <f t="shared" si="12"/>
        <v>0.53461916118589337</v>
      </c>
      <c r="M157" s="374">
        <f t="shared" si="13"/>
        <v>134.22852861092153</v>
      </c>
      <c r="N157" s="374">
        <f t="shared" si="14"/>
        <v>268.45705722184306</v>
      </c>
      <c r="O157" s="374">
        <f>+C149+D150+D151+D152+D153+D154+D155+D156+(D157/2)</f>
        <v>7.5</v>
      </c>
      <c r="P157" s="374">
        <f t="shared" si="15"/>
        <v>0.13052619222005146</v>
      </c>
      <c r="Q157" s="374">
        <f t="shared" si="16"/>
        <v>35.040677453767643</v>
      </c>
      <c r="R157" s="374">
        <f t="shared" si="30"/>
        <v>325.65329844691598</v>
      </c>
      <c r="S157" s="374">
        <f t="shared" si="42"/>
        <v>360.69397590068365</v>
      </c>
      <c r="T157" s="375">
        <f t="shared" si="17"/>
        <v>360.69397590068365</v>
      </c>
      <c r="U157" s="48"/>
      <c r="V157" s="929">
        <f t="shared" si="18"/>
        <v>0</v>
      </c>
      <c r="W157" s="340"/>
      <c r="X157" s="340"/>
      <c r="Y157" s="340"/>
      <c r="Z157" s="340"/>
      <c r="AA157" s="340"/>
      <c r="AB157" s="257" t="str">
        <f t="shared" si="43"/>
        <v>use the locking pin</v>
      </c>
      <c r="AC157" s="377" t="b">
        <f>IF(AD157=9,AF157)</f>
        <v>0</v>
      </c>
      <c r="AD157" s="377">
        <f t="shared" si="31"/>
        <v>1</v>
      </c>
      <c r="AE157" s="377">
        <f>IF(V157=0,0,9)</f>
        <v>0</v>
      </c>
      <c r="AF157" s="966">
        <f>SUM(V157:V174)/($B$146-B156)</f>
        <v>0</v>
      </c>
      <c r="AG157" s="971">
        <f>SUM(D150:D157)+$C$149</f>
        <v>8</v>
      </c>
      <c r="AH157" s="353" t="b">
        <f t="shared" si="19"/>
        <v>0</v>
      </c>
      <c r="AI157" s="944">
        <f t="shared" si="32"/>
        <v>67.499008599999996</v>
      </c>
      <c r="AJ157" s="575">
        <f t="shared" si="20"/>
        <v>0.92387291072723265</v>
      </c>
      <c r="AK157" s="944">
        <f t="shared" si="33"/>
        <v>268.5170724412709</v>
      </c>
      <c r="AL157" s="944">
        <f t="shared" si="34"/>
        <v>65.181912400000002</v>
      </c>
      <c r="AM157" s="968">
        <f t="shared" si="35"/>
        <v>0.9076450172391024</v>
      </c>
      <c r="AN157" s="944">
        <f t="shared" si="36"/>
        <v>227.88531352821613</v>
      </c>
      <c r="AO157" s="969">
        <f t="shared" si="21"/>
        <v>-21.103729693667624</v>
      </c>
      <c r="AP157" s="251">
        <f t="shared" si="44"/>
        <v>-205.1</v>
      </c>
      <c r="AQ157" s="347">
        <f t="shared" si="22"/>
        <v>-178.29999999999998</v>
      </c>
      <c r="AR157" s="347">
        <f t="shared" si="37"/>
        <v>496.402385969487</v>
      </c>
      <c r="AS157" s="348">
        <f t="shared" si="23"/>
        <v>-227.88531352821613</v>
      </c>
      <c r="AT157" s="348">
        <f t="shared" si="38"/>
        <v>206.78158383454851</v>
      </c>
      <c r="AU157" s="348"/>
      <c r="AV157" s="350">
        <f t="shared" si="39"/>
        <v>-104.02727803132217</v>
      </c>
      <c r="AW157" s="350">
        <f t="shared" si="40"/>
        <v>-74.272721968677814</v>
      </c>
      <c r="AX157" s="351">
        <f t="shared" si="24"/>
        <v>-111.50921392471011</v>
      </c>
      <c r="AY157" s="351">
        <f t="shared" si="25"/>
        <v>-134.63893250360726</v>
      </c>
      <c r="AZ157" s="1043"/>
      <c r="BA157" s="241">
        <f t="shared" si="26"/>
        <v>111.50921392471011</v>
      </c>
      <c r="BB157" s="242">
        <f t="shared" si="27"/>
        <v>134.63893250360726</v>
      </c>
      <c r="BC157" s="437">
        <f t="shared" si="41"/>
        <v>0.3</v>
      </c>
    </row>
    <row r="158" spans="1:79" ht="18.75" customHeight="1" thickBot="1" x14ac:dyDescent="0.25">
      <c r="B158" s="244">
        <v>10</v>
      </c>
      <c r="C158" s="245"/>
      <c r="D158" s="16">
        <v>1</v>
      </c>
      <c r="E158" s="234" t="s">
        <v>215</v>
      </c>
      <c r="F158" s="235"/>
      <c r="G158" s="235">
        <f t="shared" si="28"/>
        <v>1.3</v>
      </c>
      <c r="H158" s="888">
        <v>251.073172</v>
      </c>
      <c r="I158" s="889">
        <v>65.636175100000003</v>
      </c>
      <c r="J158" s="374">
        <f t="shared" si="29"/>
        <v>64.636175100000003</v>
      </c>
      <c r="K158" s="374">
        <f t="shared" si="11"/>
        <v>32.318087550000001</v>
      </c>
      <c r="L158" s="374">
        <f t="shared" si="12"/>
        <v>0.53461916118589337</v>
      </c>
      <c r="M158" s="374">
        <f t="shared" si="13"/>
        <v>134.22852861092153</v>
      </c>
      <c r="N158" s="374">
        <f t="shared" si="14"/>
        <v>268.45705722184306</v>
      </c>
      <c r="O158" s="374">
        <f>+C149+D150+D151+D152+D153+D154+D155+D156+D157+(D158/2)</f>
        <v>8.5</v>
      </c>
      <c r="P158" s="374">
        <f t="shared" si="15"/>
        <v>0.14780941112961046</v>
      </c>
      <c r="Q158" s="374">
        <f t="shared" si="16"/>
        <v>39.680479541548763</v>
      </c>
      <c r="R158" s="374">
        <f t="shared" si="30"/>
        <v>360.69397590068365</v>
      </c>
      <c r="S158" s="374">
        <f t="shared" si="42"/>
        <v>400.37445544223243</v>
      </c>
      <c r="T158" s="375">
        <f t="shared" si="17"/>
        <v>400.37445544223243</v>
      </c>
      <c r="U158" s="48"/>
      <c r="V158" s="929">
        <f t="shared" si="18"/>
        <v>0</v>
      </c>
      <c r="W158" s="340"/>
      <c r="X158" s="340"/>
      <c r="Y158" s="340"/>
      <c r="Z158" s="340"/>
      <c r="AA158" s="340"/>
      <c r="AB158" s="257" t="str">
        <f t="shared" si="43"/>
        <v>use the locking pin</v>
      </c>
      <c r="AC158" s="377" t="b">
        <f>IF(AD158=10,AF158)</f>
        <v>0</v>
      </c>
      <c r="AD158" s="377">
        <f t="shared" si="31"/>
        <v>1</v>
      </c>
      <c r="AE158" s="377">
        <f>IF(V158=0,0,10)</f>
        <v>0</v>
      </c>
      <c r="AF158" s="966">
        <f>SUM(V158:V174)/($B$146-B157)</f>
        <v>0</v>
      </c>
      <c r="AG158" s="971">
        <f>SUM(D150:D158)+$C$149</f>
        <v>9</v>
      </c>
      <c r="AH158" s="353" t="b">
        <f t="shared" si="19"/>
        <v>0</v>
      </c>
      <c r="AI158" s="944">
        <f t="shared" si="32"/>
        <v>66.499008599999996</v>
      </c>
      <c r="AJ158" s="575">
        <f t="shared" si="20"/>
        <v>0.91705317461526137</v>
      </c>
      <c r="AK158" s="944">
        <f t="shared" si="33"/>
        <v>266.53496477868435</v>
      </c>
      <c r="AL158" s="944">
        <f t="shared" si="34"/>
        <v>66.181912400000002</v>
      </c>
      <c r="AM158" s="968">
        <f t="shared" si="35"/>
        <v>0.91483222778230289</v>
      </c>
      <c r="AN158" s="944">
        <f t="shared" si="36"/>
        <v>229.68982927712932</v>
      </c>
      <c r="AO158" s="969">
        <f t="shared" si="21"/>
        <v>-18.125216784108559</v>
      </c>
      <c r="AP158" s="251">
        <f t="shared" si="44"/>
        <v>-234.4</v>
      </c>
      <c r="AQ158" s="347">
        <f t="shared" si="22"/>
        <v>-207.6</v>
      </c>
      <c r="AR158" s="347">
        <f t="shared" si="37"/>
        <v>496.22479405581367</v>
      </c>
      <c r="AS158" s="348">
        <f t="shared" si="23"/>
        <v>-229.68982927712932</v>
      </c>
      <c r="AT158" s="348">
        <f t="shared" si="38"/>
        <v>211.56461249302077</v>
      </c>
      <c r="AU158" s="348"/>
      <c r="AV158" s="350">
        <f t="shared" si="39"/>
        <v>-119.09008659045149</v>
      </c>
      <c r="AW158" s="350">
        <f t="shared" si="40"/>
        <v>-88.509913409548517</v>
      </c>
      <c r="AX158" s="351">
        <f t="shared" si="24"/>
        <v>-97.405252881309721</v>
      </c>
      <c r="AY158" s="351">
        <f t="shared" si="25"/>
        <v>-112.9816945332272</v>
      </c>
      <c r="AZ158" s="1043"/>
      <c r="BA158" s="241">
        <f t="shared" si="26"/>
        <v>97.405252881309721</v>
      </c>
      <c r="BB158" s="242">
        <f t="shared" si="27"/>
        <v>112.9816945332272</v>
      </c>
      <c r="BC158" s="437">
        <f t="shared" si="41"/>
        <v>0.3</v>
      </c>
    </row>
    <row r="159" spans="1:79" ht="18.75" customHeight="1" thickBot="1" x14ac:dyDescent="0.25">
      <c r="A159" s="543"/>
      <c r="B159" s="244">
        <v>11</v>
      </c>
      <c r="C159" s="245"/>
      <c r="D159" s="16">
        <v>1</v>
      </c>
      <c r="E159" s="234" t="s">
        <v>215</v>
      </c>
      <c r="F159" s="235"/>
      <c r="G159" s="235">
        <f t="shared" si="28"/>
        <v>1.3</v>
      </c>
      <c r="H159" s="888">
        <v>251.073172</v>
      </c>
      <c r="I159" s="889">
        <v>65.636175100000003</v>
      </c>
      <c r="J159" s="374">
        <f t="shared" si="29"/>
        <v>64.636175100000003</v>
      </c>
      <c r="K159" s="374">
        <f t="shared" si="11"/>
        <v>32.318087550000001</v>
      </c>
      <c r="L159" s="374">
        <f t="shared" si="12"/>
        <v>0.53461916118589337</v>
      </c>
      <c r="M159" s="374">
        <f t="shared" si="13"/>
        <v>134.22852861092153</v>
      </c>
      <c r="N159" s="374">
        <f t="shared" si="14"/>
        <v>268.45705722184306</v>
      </c>
      <c r="O159" s="374">
        <f>+C149+D150+D151+D152+D153+D154+D155+D156+D157+D158+(D159/2)</f>
        <v>9.5</v>
      </c>
      <c r="P159" s="374">
        <f t="shared" si="15"/>
        <v>0.16504760586067749</v>
      </c>
      <c r="Q159" s="374">
        <f t="shared" si="16"/>
        <v>44.308194570868096</v>
      </c>
      <c r="R159" s="374">
        <f t="shared" si="30"/>
        <v>400.37445544223243</v>
      </c>
      <c r="S159" s="374">
        <f t="shared" si="42"/>
        <v>444.68265001310056</v>
      </c>
      <c r="T159" s="375">
        <f t="shared" si="17"/>
        <v>444.68265001310056</v>
      </c>
      <c r="U159" s="48"/>
      <c r="V159" s="929">
        <f t="shared" si="18"/>
        <v>0</v>
      </c>
      <c r="W159" s="340"/>
      <c r="X159" s="340"/>
      <c r="Y159" s="340"/>
      <c r="Z159" s="340"/>
      <c r="AA159" s="340"/>
      <c r="AB159" s="257" t="str">
        <f t="shared" si="43"/>
        <v>use the locking pin</v>
      </c>
      <c r="AC159" s="377" t="b">
        <f>IF(AD159=11,AF159)</f>
        <v>0</v>
      </c>
      <c r="AD159" s="377">
        <f t="shared" si="31"/>
        <v>1</v>
      </c>
      <c r="AE159" s="377">
        <f>IF(V159=0,0,11)</f>
        <v>0</v>
      </c>
      <c r="AF159" s="966">
        <f>SUM(V159:V174)/($B$146-B158)</f>
        <v>0</v>
      </c>
      <c r="AG159" s="971">
        <f>SUM(D150:D159)+$C$149</f>
        <v>10</v>
      </c>
      <c r="AH159" s="353" t="b">
        <f t="shared" si="19"/>
        <v>0</v>
      </c>
      <c r="AI159" s="944">
        <f t="shared" si="32"/>
        <v>65.499008599999996</v>
      </c>
      <c r="AJ159" s="575">
        <f t="shared" si="20"/>
        <v>0.90995409522260873</v>
      </c>
      <c r="AK159" s="944">
        <f t="shared" si="33"/>
        <v>264.4716679838441</v>
      </c>
      <c r="AL159" s="944">
        <f t="shared" si="34"/>
        <v>67.181912400000002</v>
      </c>
      <c r="AM159" s="968">
        <f t="shared" si="35"/>
        <v>0.92174077156674206</v>
      </c>
      <c r="AN159" s="944">
        <f t="shared" si="36"/>
        <v>231.42437927898933</v>
      </c>
      <c r="AO159" s="969">
        <f t="shared" si="21"/>
        <v>-15.883474058171959</v>
      </c>
      <c r="AP159" s="251">
        <f t="shared" si="44"/>
        <v>-263.7</v>
      </c>
      <c r="AQ159" s="347">
        <f t="shared" si="22"/>
        <v>-236.89999999999998</v>
      </c>
      <c r="AR159" s="347">
        <f t="shared" si="37"/>
        <v>495.89604726283346</v>
      </c>
      <c r="AS159" s="348">
        <f t="shared" si="23"/>
        <v>-231.42437927898933</v>
      </c>
      <c r="AT159" s="348">
        <f t="shared" si="38"/>
        <v>215.54090522081736</v>
      </c>
      <c r="AU159" s="348"/>
      <c r="AV159" s="350">
        <f t="shared" si="39"/>
        <v>-133.93156391616066</v>
      </c>
      <c r="AW159" s="350">
        <f t="shared" si="40"/>
        <v>-102.96843608383932</v>
      </c>
      <c r="AX159" s="351">
        <f t="shared" si="24"/>
        <v>-86.611398096280297</v>
      </c>
      <c r="AY159" s="351">
        <f t="shared" si="25"/>
        <v>-97.117139779201509</v>
      </c>
      <c r="AZ159" s="1043"/>
      <c r="BA159" s="241">
        <f t="shared" si="26"/>
        <v>86.611398096280297</v>
      </c>
      <c r="BB159" s="242">
        <f t="shared" si="27"/>
        <v>97.117139779201509</v>
      </c>
      <c r="BC159" s="437">
        <f t="shared" si="41"/>
        <v>0.3</v>
      </c>
    </row>
    <row r="160" spans="1:79" ht="18.75" customHeight="1" thickBot="1" x14ac:dyDescent="0.25">
      <c r="A160" s="543"/>
      <c r="B160" s="244">
        <v>12</v>
      </c>
      <c r="C160" s="245"/>
      <c r="D160" s="16">
        <v>1</v>
      </c>
      <c r="E160" s="234" t="s">
        <v>215</v>
      </c>
      <c r="F160" s="235"/>
      <c r="G160" s="235">
        <f t="shared" si="28"/>
        <v>1.3</v>
      </c>
      <c r="H160" s="888">
        <v>251.073172</v>
      </c>
      <c r="I160" s="889">
        <v>65.636175100000003</v>
      </c>
      <c r="J160" s="374">
        <f t="shared" si="29"/>
        <v>64.636175100000003</v>
      </c>
      <c r="K160" s="374">
        <f t="shared" si="11"/>
        <v>32.318087550000001</v>
      </c>
      <c r="L160" s="374">
        <f t="shared" si="12"/>
        <v>0.53461916118589337</v>
      </c>
      <c r="M160" s="374">
        <f t="shared" si="13"/>
        <v>134.22852861092153</v>
      </c>
      <c r="N160" s="374">
        <f t="shared" si="14"/>
        <v>268.45705722184306</v>
      </c>
      <c r="O160" s="374">
        <f>+C149+D150+D151+D152+D153+D154+D155+D156+D157+D158+D159+(D160/2)</f>
        <v>10.5</v>
      </c>
      <c r="P160" s="374">
        <f t="shared" si="15"/>
        <v>0.18223552549214728</v>
      </c>
      <c r="Q160" s="374">
        <f t="shared" si="16"/>
        <v>48.922412894898024</v>
      </c>
      <c r="R160" s="374">
        <f t="shared" si="30"/>
        <v>444.68265001310056</v>
      </c>
      <c r="S160" s="374">
        <f t="shared" si="42"/>
        <v>493.60506290799856</v>
      </c>
      <c r="T160" s="375">
        <f t="shared" si="17"/>
        <v>493.60506290799856</v>
      </c>
      <c r="U160" s="48"/>
      <c r="V160" s="929">
        <f t="shared" si="18"/>
        <v>0</v>
      </c>
      <c r="W160" s="340"/>
      <c r="X160" s="340"/>
      <c r="Y160" s="340"/>
      <c r="Z160" s="340"/>
      <c r="AA160" s="340"/>
      <c r="AB160" s="257" t="str">
        <f t="shared" si="43"/>
        <v>use the locking pin</v>
      </c>
      <c r="AC160" s="377" t="b">
        <f>IF(AD160=12,AF160)</f>
        <v>0</v>
      </c>
      <c r="AD160" s="377">
        <f t="shared" si="31"/>
        <v>1</v>
      </c>
      <c r="AE160" s="377">
        <f>IF(V160=0,0,12)</f>
        <v>0</v>
      </c>
      <c r="AF160" s="966">
        <f>SUM(V160:V174)/($B$146-B159)</f>
        <v>0</v>
      </c>
      <c r="AG160" s="971">
        <f>SUM(D150:D160)+$C$149</f>
        <v>11</v>
      </c>
      <c r="AH160" s="353" t="b">
        <f t="shared" si="19"/>
        <v>0</v>
      </c>
      <c r="AI160" s="944">
        <f t="shared" si="32"/>
        <v>64.499008599999996</v>
      </c>
      <c r="AJ160" s="575">
        <f t="shared" si="20"/>
        <v>0.902577834997628</v>
      </c>
      <c r="AK160" s="944">
        <f t="shared" si="33"/>
        <v>262.32781055694142</v>
      </c>
      <c r="AL160" s="944">
        <f t="shared" si="34"/>
        <v>68.181912400000002</v>
      </c>
      <c r="AM160" s="968">
        <f t="shared" si="35"/>
        <v>0.9283685441830587</v>
      </c>
      <c r="AN160" s="944">
        <f t="shared" si="36"/>
        <v>233.08843517306269</v>
      </c>
      <c r="AO160" s="969">
        <f t="shared" si="21"/>
        <v>-14.135217897749575</v>
      </c>
      <c r="AP160" s="251">
        <f t="shared" si="44"/>
        <v>-293</v>
      </c>
      <c r="AQ160" s="347">
        <f t="shared" si="22"/>
        <v>-266.2</v>
      </c>
      <c r="AR160" s="347">
        <f t="shared" si="37"/>
        <v>495.41624573000411</v>
      </c>
      <c r="AS160" s="348">
        <f t="shared" si="23"/>
        <v>-233.08843517306269</v>
      </c>
      <c r="AT160" s="348">
        <f t="shared" si="38"/>
        <v>218.95321727531311</v>
      </c>
      <c r="AU160" s="348"/>
      <c r="AV160" s="350">
        <f t="shared" si="39"/>
        <v>-148.55075667976141</v>
      </c>
      <c r="AW160" s="350">
        <f t="shared" si="40"/>
        <v>-117.64924332023855</v>
      </c>
      <c r="AX160" s="351">
        <f t="shared" si="24"/>
        <v>-78.087788034676407</v>
      </c>
      <c r="AY160" s="351">
        <f t="shared" si="25"/>
        <v>-84.998421730433307</v>
      </c>
      <c r="AZ160" s="1043"/>
      <c r="BA160" s="241">
        <f t="shared" si="26"/>
        <v>78.087788034676407</v>
      </c>
      <c r="BB160" s="242">
        <f t="shared" si="27"/>
        <v>84.998421730433307</v>
      </c>
      <c r="BC160" s="437">
        <f t="shared" si="41"/>
        <v>0.3</v>
      </c>
      <c r="BR160" s="267"/>
      <c r="BS160" s="267"/>
      <c r="BT160" s="267"/>
      <c r="BU160" s="267"/>
      <c r="BV160" s="267"/>
      <c r="BW160" s="267"/>
      <c r="BX160" s="1109"/>
      <c r="BY160" s="1109"/>
      <c r="BZ160" s="1109"/>
      <c r="CA160" s="109"/>
    </row>
    <row r="161" spans="2:89" ht="18.75" customHeight="1" thickBot="1" x14ac:dyDescent="0.25">
      <c r="B161" s="244">
        <v>13</v>
      </c>
      <c r="C161" s="245"/>
      <c r="D161" s="16">
        <v>1</v>
      </c>
      <c r="E161" s="234" t="s">
        <v>215</v>
      </c>
      <c r="F161" s="235"/>
      <c r="G161" s="235">
        <f t="shared" si="28"/>
        <v>1.3</v>
      </c>
      <c r="H161" s="888">
        <v>251.073172</v>
      </c>
      <c r="I161" s="889">
        <v>65.636175100000003</v>
      </c>
      <c r="J161" s="374">
        <f t="shared" si="29"/>
        <v>64.636175100000003</v>
      </c>
      <c r="K161" s="374">
        <f t="shared" si="11"/>
        <v>32.318087550000001</v>
      </c>
      <c r="L161" s="374">
        <f t="shared" si="12"/>
        <v>0.53461916118589337</v>
      </c>
      <c r="M161" s="374">
        <f t="shared" si="13"/>
        <v>134.22852861092153</v>
      </c>
      <c r="N161" s="374">
        <f t="shared" si="14"/>
        <v>268.45705722184306</v>
      </c>
      <c r="O161" s="374">
        <f>+C149+D150+D151+D152+D153+D154+D155+D156+D157+D158+D159+D160+(D161/2)</f>
        <v>11.5</v>
      </c>
      <c r="P161" s="374">
        <f t="shared" si="15"/>
        <v>0.19936793441719697</v>
      </c>
      <c r="Q161" s="374">
        <f t="shared" si="16"/>
        <v>53.521728978038098</v>
      </c>
      <c r="R161" s="374">
        <f t="shared" si="30"/>
        <v>493.60506290799856</v>
      </c>
      <c r="S161" s="374">
        <f t="shared" si="42"/>
        <v>547.1267918860367</v>
      </c>
      <c r="T161" s="375">
        <f t="shared" si="17"/>
        <v>547.1267918860367</v>
      </c>
      <c r="U161" s="48"/>
      <c r="V161" s="929">
        <f t="shared" si="18"/>
        <v>0</v>
      </c>
      <c r="W161" s="340"/>
      <c r="X161" s="340"/>
      <c r="Y161" s="340"/>
      <c r="Z161" s="340"/>
      <c r="AA161" s="340"/>
      <c r="AB161" s="257" t="str">
        <f t="shared" si="43"/>
        <v>use the locking pin</v>
      </c>
      <c r="AC161" s="377" t="b">
        <f>IF(AD161=13,AF161)</f>
        <v>0</v>
      </c>
      <c r="AD161" s="377">
        <f t="shared" si="31"/>
        <v>1</v>
      </c>
      <c r="AE161" s="377">
        <f>IF(V161=0,0,13)</f>
        <v>0</v>
      </c>
      <c r="AF161" s="966">
        <f>SUM(V161:V174)/($B$146-B160)</f>
        <v>0</v>
      </c>
      <c r="AG161" s="971">
        <f>SUM(D150:D161)+$C$149</f>
        <v>12</v>
      </c>
      <c r="AH161" s="353" t="b">
        <f t="shared" si="19"/>
        <v>0</v>
      </c>
      <c r="AI161" s="944">
        <f t="shared" si="32"/>
        <v>63.499008599999996</v>
      </c>
      <c r="AJ161" s="575">
        <f t="shared" si="20"/>
        <v>0.89492664082063922</v>
      </c>
      <c r="AK161" s="944">
        <f t="shared" si="33"/>
        <v>260.1040455377165</v>
      </c>
      <c r="AL161" s="944">
        <f t="shared" si="34"/>
        <v>69.181912400000002</v>
      </c>
      <c r="AM161" s="968">
        <f t="shared" si="35"/>
        <v>0.93471352674750907</v>
      </c>
      <c r="AN161" s="944">
        <f t="shared" si="36"/>
        <v>234.68149007180395</v>
      </c>
      <c r="AO161" s="969">
        <f t="shared" si="21"/>
        <v>-12.733654837160531</v>
      </c>
      <c r="AP161" s="251">
        <f t="shared" si="44"/>
        <v>-322.3</v>
      </c>
      <c r="AQ161" s="347">
        <f t="shared" si="22"/>
        <v>-295.5</v>
      </c>
      <c r="AR161" s="347">
        <f t="shared" si="37"/>
        <v>494.78553560952048</v>
      </c>
      <c r="AS161" s="348">
        <f t="shared" si="23"/>
        <v>-234.68149007180395</v>
      </c>
      <c r="AT161" s="348">
        <f t="shared" si="38"/>
        <v>221.94783523464341</v>
      </c>
      <c r="AU161" s="348"/>
      <c r="AV161" s="350">
        <f t="shared" si="39"/>
        <v>-162.94643771559927</v>
      </c>
      <c r="AW161" s="350">
        <f t="shared" si="40"/>
        <v>-132.5535622844007</v>
      </c>
      <c r="AX161" s="351">
        <f t="shared" si="24"/>
        <v>-71.189037100928914</v>
      </c>
      <c r="AY161" s="351">
        <f t="shared" si="25"/>
        <v>-75.441201486116753</v>
      </c>
      <c r="AZ161" s="1043"/>
      <c r="BA161" s="241">
        <f t="shared" si="26"/>
        <v>71.189037100928914</v>
      </c>
      <c r="BB161" s="242">
        <f t="shared" si="27"/>
        <v>75.441201486116753</v>
      </c>
      <c r="BC161" s="437">
        <f t="shared" si="41"/>
        <v>0.3</v>
      </c>
      <c r="BX161" s="268"/>
      <c r="CK161" s="268"/>
    </row>
    <row r="162" spans="2:89" ht="18.75" customHeight="1" thickBot="1" x14ac:dyDescent="0.25">
      <c r="B162" s="244">
        <v>14</v>
      </c>
      <c r="C162" s="245"/>
      <c r="D162" s="16">
        <v>1</v>
      </c>
      <c r="E162" s="234" t="s">
        <v>215</v>
      </c>
      <c r="F162" s="235"/>
      <c r="G162" s="235">
        <f t="shared" si="28"/>
        <v>1.3</v>
      </c>
      <c r="H162" s="888">
        <v>251.073172</v>
      </c>
      <c r="I162" s="889">
        <v>65.636175100000003</v>
      </c>
      <c r="J162" s="374">
        <f t="shared" si="29"/>
        <v>64.636175100000003</v>
      </c>
      <c r="K162" s="374">
        <f t="shared" si="11"/>
        <v>32.318087550000001</v>
      </c>
      <c r="L162" s="374">
        <f t="shared" si="12"/>
        <v>0.53461916118589337</v>
      </c>
      <c r="M162" s="374">
        <f t="shared" si="13"/>
        <v>134.22852861092153</v>
      </c>
      <c r="N162" s="374">
        <f t="shared" si="14"/>
        <v>268.45705722184306</v>
      </c>
      <c r="O162" s="374">
        <f>+C149+D150+D151+D152+D153+D154+D155+D156+D157+D158+D159+D160+D161+(D162/2)</f>
        <v>12.5</v>
      </c>
      <c r="P162" s="374">
        <f t="shared" si="15"/>
        <v>0.21643961393810265</v>
      </c>
      <c r="Q162" s="374">
        <f t="shared" si="16"/>
        <v>58.104741824054848</v>
      </c>
      <c r="R162" s="374">
        <f t="shared" si="30"/>
        <v>547.1267918860367</v>
      </c>
      <c r="S162" s="374">
        <f t="shared" si="42"/>
        <v>605.23153371009153</v>
      </c>
      <c r="T162" s="375">
        <f t="shared" si="17"/>
        <v>605.23153371009153</v>
      </c>
      <c r="U162" s="48"/>
      <c r="V162" s="929">
        <f t="shared" si="18"/>
        <v>0</v>
      </c>
      <c r="W162" s="340"/>
      <c r="X162" s="340"/>
      <c r="Y162" s="340"/>
      <c r="Z162" s="340"/>
      <c r="AA162" s="340"/>
      <c r="AB162" s="257" t="str">
        <f t="shared" si="43"/>
        <v>use the locking pin</v>
      </c>
      <c r="AC162" s="377" t="b">
        <f>IF(AD162=14,AF162)</f>
        <v>0</v>
      </c>
      <c r="AD162" s="377">
        <f t="shared" si="31"/>
        <v>1</v>
      </c>
      <c r="AE162" s="377">
        <f>IF(V162=0,0,14)</f>
        <v>0</v>
      </c>
      <c r="AF162" s="966">
        <f>SUM(V162:V174)/($B$146-B161)</f>
        <v>0</v>
      </c>
      <c r="AG162" s="971">
        <f>SUM(D150:D162)+$C$149</f>
        <v>13</v>
      </c>
      <c r="AH162" s="353" t="b">
        <f t="shared" si="19"/>
        <v>0</v>
      </c>
      <c r="AI162" s="944">
        <f t="shared" si="32"/>
        <v>62.499008599999996</v>
      </c>
      <c r="AJ162" s="575">
        <f t="shared" si="20"/>
        <v>0.88700284331950752</v>
      </c>
      <c r="AK162" s="944">
        <f t="shared" si="33"/>
        <v>257.8010503065363</v>
      </c>
      <c r="AL162" s="944">
        <f t="shared" si="34"/>
        <v>70.181912400000002</v>
      </c>
      <c r="AM162" s="968">
        <f t="shared" si="35"/>
        <v>0.94077378651693899</v>
      </c>
      <c r="AN162" s="944">
        <f t="shared" si="36"/>
        <v>236.20305871525869</v>
      </c>
      <c r="AO162" s="969">
        <f t="shared" si="21"/>
        <v>-11.584959988857564</v>
      </c>
      <c r="AP162" s="251">
        <f t="shared" si="44"/>
        <v>-351.6</v>
      </c>
      <c r="AQ162" s="347">
        <f t="shared" si="22"/>
        <v>-324.8</v>
      </c>
      <c r="AR162" s="347">
        <f t="shared" si="37"/>
        <v>494.00410902179499</v>
      </c>
      <c r="AS162" s="348">
        <f t="shared" si="23"/>
        <v>-236.20305871525869</v>
      </c>
      <c r="AT162" s="348">
        <f t="shared" si="38"/>
        <v>224.61809872640112</v>
      </c>
      <c r="AU162" s="348"/>
      <c r="AV162" s="350">
        <f t="shared" si="39"/>
        <v>-177.11710195528693</v>
      </c>
      <c r="AW162" s="350">
        <f t="shared" si="40"/>
        <v>-147.68289804471308</v>
      </c>
      <c r="AX162" s="351">
        <f t="shared" si="24"/>
        <v>-65.493393195471384</v>
      </c>
      <c r="AY162" s="351">
        <f t="shared" si="25"/>
        <v>-67.712647384346141</v>
      </c>
      <c r="AZ162" s="1043"/>
      <c r="BA162" s="241">
        <f t="shared" si="26"/>
        <v>65.493393195471384</v>
      </c>
      <c r="BB162" s="242">
        <f t="shared" si="27"/>
        <v>67.712647384346141</v>
      </c>
      <c r="BC162" s="437">
        <f t="shared" si="41"/>
        <v>0.3</v>
      </c>
      <c r="BR162" s="269"/>
      <c r="BS162" s="269"/>
      <c r="BT162" s="269"/>
      <c r="BU162" s="269"/>
      <c r="BV162" s="269"/>
      <c r="BW162" s="269"/>
      <c r="BX162" s="1110"/>
      <c r="BY162" s="1110"/>
      <c r="CJ162" s="1104"/>
      <c r="CK162" s="1104"/>
    </row>
    <row r="163" spans="2:89" ht="18.75" customHeight="1" thickBot="1" x14ac:dyDescent="0.25">
      <c r="B163" s="244">
        <v>15</v>
      </c>
      <c r="C163" s="245"/>
      <c r="D163" s="16">
        <v>1</v>
      </c>
      <c r="E163" s="234" t="s">
        <v>215</v>
      </c>
      <c r="F163" s="235"/>
      <c r="G163" s="235">
        <f t="shared" si="28"/>
        <v>1.3</v>
      </c>
      <c r="H163" s="888">
        <v>251.073172</v>
      </c>
      <c r="I163" s="889">
        <v>65.636175100000003</v>
      </c>
      <c r="J163" s="374">
        <f t="shared" si="29"/>
        <v>64.636175100000003</v>
      </c>
      <c r="K163" s="374">
        <f t="shared" si="11"/>
        <v>32.318087550000001</v>
      </c>
      <c r="L163" s="374">
        <f t="shared" si="12"/>
        <v>0.53461916118589337</v>
      </c>
      <c r="M163" s="374">
        <f t="shared" si="13"/>
        <v>134.22852861092153</v>
      </c>
      <c r="N163" s="374">
        <f t="shared" si="14"/>
        <v>268.45705722184306</v>
      </c>
      <c r="O163" s="374">
        <f>+C149+D150+D151+D152+D153+D154+D155+D156+D157+D158+D159+D160+D161+D162+(D163/2)</f>
        <v>13.5</v>
      </c>
      <c r="P163" s="374">
        <f t="shared" si="15"/>
        <v>0.23344536385590517</v>
      </c>
      <c r="Q163" s="374">
        <f t="shared" si="16"/>
        <v>62.670055402838706</v>
      </c>
      <c r="R163" s="374">
        <f t="shared" si="30"/>
        <v>605.23153371009153</v>
      </c>
      <c r="S163" s="374">
        <f t="shared" si="42"/>
        <v>667.9015891129302</v>
      </c>
      <c r="T163" s="375">
        <f t="shared" si="17"/>
        <v>667.9015891129302</v>
      </c>
      <c r="U163" s="48"/>
      <c r="V163" s="929">
        <f t="shared" si="18"/>
        <v>0</v>
      </c>
      <c r="W163" s="340"/>
      <c r="X163" s="340"/>
      <c r="Y163" s="340"/>
      <c r="Z163" s="340"/>
      <c r="AA163" s="340"/>
      <c r="AB163" s="257" t="str">
        <f t="shared" si="43"/>
        <v>use the locking pin</v>
      </c>
      <c r="AC163" s="377" t="b">
        <f>IF(AD163=15,AF163)</f>
        <v>0</v>
      </c>
      <c r="AD163" s="377">
        <f t="shared" si="31"/>
        <v>1</v>
      </c>
      <c r="AE163" s="377">
        <f>IF(V163=0,0,15)</f>
        <v>0</v>
      </c>
      <c r="AF163" s="966">
        <f>SUM(V163:V174)/($B$146-B162)</f>
        <v>0</v>
      </c>
      <c r="AG163" s="971">
        <f>SUM(D150:D163)+$C$149</f>
        <v>14</v>
      </c>
      <c r="AH163" s="353" t="b">
        <f t="shared" si="19"/>
        <v>0</v>
      </c>
      <c r="AI163" s="944">
        <f t="shared" si="32"/>
        <v>61.499008599999996</v>
      </c>
      <c r="AJ163" s="575">
        <f t="shared" si="20"/>
        <v>0.87880885615971105</v>
      </c>
      <c r="AK163" s="944">
        <f t="shared" si="33"/>
        <v>255.4195263780579</v>
      </c>
      <c r="AL163" s="944">
        <f t="shared" si="34"/>
        <v>71.181912400000002</v>
      </c>
      <c r="AM163" s="968">
        <f t="shared" si="35"/>
        <v>0.94654747747751544</v>
      </c>
      <c r="AN163" s="944">
        <f t="shared" si="36"/>
        <v>237.65267761887836</v>
      </c>
      <c r="AO163" s="969">
        <f t="shared" si="21"/>
        <v>-10.626362621804397</v>
      </c>
      <c r="AP163" s="251">
        <f t="shared" si="44"/>
        <v>-380.90000000000003</v>
      </c>
      <c r="AQ163" s="347">
        <f t="shared" si="22"/>
        <v>-354.1</v>
      </c>
      <c r="AR163" s="347">
        <f t="shared" si="37"/>
        <v>493.07220399693625</v>
      </c>
      <c r="AS163" s="348">
        <f t="shared" si="23"/>
        <v>-237.65267761887836</v>
      </c>
      <c r="AT163" s="348">
        <f t="shared" si="38"/>
        <v>227.02631499707397</v>
      </c>
      <c r="AU163" s="348"/>
      <c r="AV163" s="350">
        <f t="shared" si="39"/>
        <v>-191.06096131802354</v>
      </c>
      <c r="AW163" s="350">
        <f t="shared" si="40"/>
        <v>-163.03903868197651</v>
      </c>
      <c r="AX163" s="351">
        <f t="shared" si="24"/>
        <v>-60.713606379754594</v>
      </c>
      <c r="AY163" s="351">
        <f t="shared" si="25"/>
        <v>-61.335003449731886</v>
      </c>
      <c r="AZ163" s="1043"/>
      <c r="BA163" s="241">
        <f t="shared" si="26"/>
        <v>60.713606379754594</v>
      </c>
      <c r="BB163" s="242">
        <f t="shared" si="27"/>
        <v>61.335003449731886</v>
      </c>
      <c r="BC163" s="437">
        <f t="shared" si="41"/>
        <v>0.3</v>
      </c>
    </row>
    <row r="164" spans="2:89" ht="18.75" customHeight="1" thickBot="1" x14ac:dyDescent="0.25">
      <c r="B164" s="244">
        <v>16</v>
      </c>
      <c r="C164" s="245"/>
      <c r="D164" s="16">
        <v>1</v>
      </c>
      <c r="E164" s="234" t="s">
        <v>215</v>
      </c>
      <c r="F164" s="235"/>
      <c r="G164" s="235">
        <f t="shared" si="28"/>
        <v>1.3</v>
      </c>
      <c r="H164" s="888">
        <v>251.073172</v>
      </c>
      <c r="I164" s="889">
        <v>65.636175100000003</v>
      </c>
      <c r="J164" s="374">
        <f t="shared" si="29"/>
        <v>64.636175100000003</v>
      </c>
      <c r="K164" s="374">
        <f t="shared" si="11"/>
        <v>32.318087550000001</v>
      </c>
      <c r="L164" s="374">
        <f t="shared" si="12"/>
        <v>0.53461916118589337</v>
      </c>
      <c r="M164" s="374">
        <f t="shared" si="13"/>
        <v>134.22852861092153</v>
      </c>
      <c r="N164" s="374">
        <f t="shared" si="14"/>
        <v>268.45705722184306</v>
      </c>
      <c r="O164" s="374">
        <f>+C149+D150+D151+D152+D153+D154+D155+D156+D157+D158+D159+D160+D161+D162+D163+(D164/2)</f>
        <v>14.5</v>
      </c>
      <c r="P164" s="374">
        <f t="shared" si="15"/>
        <v>0.25038000405444116</v>
      </c>
      <c r="Q164" s="374">
        <f t="shared" si="16"/>
        <v>67.216279075648401</v>
      </c>
      <c r="R164" s="374">
        <f t="shared" si="30"/>
        <v>667.9015891129302</v>
      </c>
      <c r="S164" s="374">
        <f t="shared" si="42"/>
        <v>735.11786818857854</v>
      </c>
      <c r="T164" s="375">
        <f t="shared" si="17"/>
        <v>735.11786818857854</v>
      </c>
      <c r="U164" s="48"/>
      <c r="V164" s="929">
        <f t="shared" si="18"/>
        <v>0</v>
      </c>
      <c r="W164" s="340"/>
      <c r="X164" s="340"/>
      <c r="Y164" s="340"/>
      <c r="Z164" s="340"/>
      <c r="AA164" s="340"/>
      <c r="AB164" s="257" t="str">
        <f t="shared" si="43"/>
        <v>use the locking pin</v>
      </c>
      <c r="AC164" s="377" t="b">
        <f>IF(AD164=16,AF164)</f>
        <v>0</v>
      </c>
      <c r="AD164" s="377">
        <f t="shared" si="31"/>
        <v>1</v>
      </c>
      <c r="AE164" s="377">
        <f>IF(V164=0,0,16)</f>
        <v>0</v>
      </c>
      <c r="AF164" s="966">
        <f>SUM(V164:V174)/($B$146-B163)</f>
        <v>0</v>
      </c>
      <c r="AG164" s="971">
        <f>SUM(D150:D164)+$C$149</f>
        <v>15</v>
      </c>
      <c r="AH164" s="353" t="b">
        <f t="shared" si="19"/>
        <v>0</v>
      </c>
      <c r="AI164" s="944">
        <f t="shared" si="32"/>
        <v>60.499008599999996</v>
      </c>
      <c r="AJ164" s="575">
        <f t="shared" si="20"/>
        <v>0.87034717530911587</v>
      </c>
      <c r="AK164" s="944">
        <f t="shared" si="33"/>
        <v>252.96019918754024</v>
      </c>
      <c r="AL164" s="944">
        <f t="shared" si="34"/>
        <v>72.181912400000002</v>
      </c>
      <c r="AM164" s="968">
        <f t="shared" si="35"/>
        <v>0.95203284090704099</v>
      </c>
      <c r="AN164" s="944">
        <f t="shared" si="36"/>
        <v>239.02990521470213</v>
      </c>
      <c r="AO164" s="969">
        <f t="shared" si="21"/>
        <v>-9.8142801366221626</v>
      </c>
      <c r="AP164" s="251">
        <f t="shared" si="44"/>
        <v>-410.2</v>
      </c>
      <c r="AQ164" s="347">
        <f t="shared" si="22"/>
        <v>-383.4</v>
      </c>
      <c r="AR164" s="347">
        <f t="shared" si="37"/>
        <v>491.99010440224237</v>
      </c>
      <c r="AS164" s="348">
        <f t="shared" si="23"/>
        <v>-239.02990521470213</v>
      </c>
      <c r="AT164" s="348">
        <f t="shared" si="38"/>
        <v>229.21562507807997</v>
      </c>
      <c r="AU164" s="348"/>
      <c r="AV164" s="350">
        <f t="shared" si="39"/>
        <v>-204.77593852276812</v>
      </c>
      <c r="AW164" s="350">
        <f t="shared" si="40"/>
        <v>-178.62406147723183</v>
      </c>
      <c r="AX164" s="351">
        <f t="shared" si="24"/>
        <v>-56.647280357649286</v>
      </c>
      <c r="AY164" s="351">
        <f t="shared" si="25"/>
        <v>-55.983499184261028</v>
      </c>
      <c r="AZ164" s="1043"/>
      <c r="BA164" s="241">
        <f t="shared" si="26"/>
        <v>56.647280357649286</v>
      </c>
      <c r="BB164" s="242">
        <f t="shared" si="27"/>
        <v>55.983499184261028</v>
      </c>
      <c r="BC164" s="437">
        <f t="shared" si="41"/>
        <v>0.3</v>
      </c>
    </row>
    <row r="165" spans="2:89" ht="18.75" customHeight="1" thickBot="1" x14ac:dyDescent="0.25">
      <c r="B165" s="244">
        <v>17</v>
      </c>
      <c r="C165" s="245"/>
      <c r="D165" s="16">
        <v>1</v>
      </c>
      <c r="E165" s="234" t="s">
        <v>215</v>
      </c>
      <c r="F165" s="235"/>
      <c r="G165" s="235">
        <f t="shared" si="28"/>
        <v>1.3</v>
      </c>
      <c r="H165" s="888">
        <v>251.073172</v>
      </c>
      <c r="I165" s="889">
        <v>65.636175100000003</v>
      </c>
      <c r="J165" s="374">
        <f t="shared" si="29"/>
        <v>64.636175100000003</v>
      </c>
      <c r="K165" s="374">
        <f t="shared" si="11"/>
        <v>32.318087550000001</v>
      </c>
      <c r="L165" s="374">
        <f t="shared" si="12"/>
        <v>0.53461916118589337</v>
      </c>
      <c r="M165" s="374">
        <f t="shared" si="13"/>
        <v>134.22852861092153</v>
      </c>
      <c r="N165" s="374">
        <f t="shared" si="14"/>
        <v>268.45705722184306</v>
      </c>
      <c r="O165" s="374">
        <f>+C149+D150+D151+D152+D153+D154+D155+D156+D157+D158+D159+D160+D161+D162+D163+D164+(D165/2)</f>
        <v>15.5</v>
      </c>
      <c r="P165" s="374">
        <f t="shared" si="15"/>
        <v>0.26723837607825657</v>
      </c>
      <c r="Q165" s="374">
        <f t="shared" si="16"/>
        <v>71.742028018712944</v>
      </c>
      <c r="R165" s="374">
        <f t="shared" si="30"/>
        <v>735.11786818857854</v>
      </c>
      <c r="S165" s="374">
        <f t="shared" si="42"/>
        <v>806.85989620729151</v>
      </c>
      <c r="T165" s="375">
        <f t="shared" si="17"/>
        <v>806.85989620729151</v>
      </c>
      <c r="U165" s="48"/>
      <c r="V165" s="929">
        <f t="shared" si="18"/>
        <v>0</v>
      </c>
      <c r="W165" s="340"/>
      <c r="X165" s="340"/>
      <c r="Y165" s="340"/>
      <c r="Z165" s="340"/>
      <c r="AA165" s="340"/>
      <c r="AB165" s="257" t="str">
        <f t="shared" si="43"/>
        <v>use the locking pin</v>
      </c>
      <c r="AC165" s="377" t="b">
        <f>IF(AD165=17,AF165)</f>
        <v>0</v>
      </c>
      <c r="AD165" s="377">
        <f t="shared" si="31"/>
        <v>1</v>
      </c>
      <c r="AE165" s="377">
        <f>IF(V165=0,0,17)</f>
        <v>0</v>
      </c>
      <c r="AF165" s="966">
        <f>SUM(V165:V174)/($B$146-B164)</f>
        <v>0</v>
      </c>
      <c r="AG165" s="971">
        <f>SUM(D150:D165)+$C$149</f>
        <v>16</v>
      </c>
      <c r="AH165" s="353" t="b">
        <f t="shared" si="19"/>
        <v>0</v>
      </c>
      <c r="AI165" s="944">
        <f t="shared" si="32"/>
        <v>59.499008599999996</v>
      </c>
      <c r="AJ165" s="575">
        <f t="shared" si="20"/>
        <v>0.86162037827767901</v>
      </c>
      <c r="AK165" s="944">
        <f t="shared" si="33"/>
        <v>250.42381786986954</v>
      </c>
      <c r="AL165" s="944">
        <f t="shared" si="34"/>
        <v>73.181912400000002</v>
      </c>
      <c r="AM165" s="968">
        <f t="shared" si="35"/>
        <v>0.95722820591067703</v>
      </c>
      <c r="AN165" s="944">
        <f t="shared" si="36"/>
        <v>240.33432198586283</v>
      </c>
      <c r="AO165" s="969">
        <f t="shared" si="21"/>
        <v>-9.1175066740512172</v>
      </c>
      <c r="AP165" s="251">
        <f t="shared" si="44"/>
        <v>-439.5</v>
      </c>
      <c r="AQ165" s="347">
        <f t="shared" si="22"/>
        <v>-412.7</v>
      </c>
      <c r="AR165" s="347">
        <f t="shared" si="37"/>
        <v>490.75813985573234</v>
      </c>
      <c r="AS165" s="348">
        <f t="shared" si="23"/>
        <v>-240.33432198586283</v>
      </c>
      <c r="AT165" s="348">
        <f t="shared" si="38"/>
        <v>231.21681531181162</v>
      </c>
      <c r="AU165" s="348"/>
      <c r="AV165" s="350">
        <f t="shared" si="39"/>
        <v>-218.25965978020028</v>
      </c>
      <c r="AW165" s="350">
        <f t="shared" si="40"/>
        <v>-194.44034021979974</v>
      </c>
      <c r="AX165" s="351">
        <f t="shared" si="24"/>
        <v>-53.147704947775736</v>
      </c>
      <c r="AY165" s="351">
        <f t="shared" si="25"/>
        <v>-51.429656977023264</v>
      </c>
      <c r="AZ165" s="1043"/>
      <c r="BA165" s="241">
        <f t="shared" si="26"/>
        <v>53.147704947775736</v>
      </c>
      <c r="BB165" s="242">
        <f t="shared" si="27"/>
        <v>51.429656977023264</v>
      </c>
      <c r="BC165" s="437">
        <f t="shared" si="41"/>
        <v>0.3</v>
      </c>
    </row>
    <row r="166" spans="2:89" ht="18.75" customHeight="1" thickBot="1" x14ac:dyDescent="0.25">
      <c r="B166" s="244">
        <v>18</v>
      </c>
      <c r="C166" s="245"/>
      <c r="D166" s="16">
        <v>1</v>
      </c>
      <c r="E166" s="234" t="s">
        <v>215</v>
      </c>
      <c r="F166" s="235"/>
      <c r="G166" s="235">
        <f t="shared" si="28"/>
        <v>1.3</v>
      </c>
      <c r="H166" s="888">
        <v>251.073172</v>
      </c>
      <c r="I166" s="889">
        <v>65.636175100000003</v>
      </c>
      <c r="J166" s="374">
        <f t="shared" si="29"/>
        <v>64.636175100000003</v>
      </c>
      <c r="K166" s="374">
        <f t="shared" si="11"/>
        <v>32.318087550000001</v>
      </c>
      <c r="L166" s="374">
        <f t="shared" si="12"/>
        <v>0.53461916118589337</v>
      </c>
      <c r="M166" s="374">
        <f t="shared" si="13"/>
        <v>134.22852861092153</v>
      </c>
      <c r="N166" s="374">
        <f t="shared" si="14"/>
        <v>268.45705722184306</v>
      </c>
      <c r="O166" s="374">
        <f>+C149+D150+D151+D152+D153+D154+D155+D156+D157+D158+D159+D160+D161+D162+D163+D164+D165+(D166/2)</f>
        <v>16.5</v>
      </c>
      <c r="P166" s="374">
        <f t="shared" si="15"/>
        <v>0.28401534470392237</v>
      </c>
      <c r="Q166" s="374">
        <f t="shared" si="16"/>
        <v>76.245923645062362</v>
      </c>
      <c r="R166" s="374">
        <f t="shared" si="30"/>
        <v>806.85989620729151</v>
      </c>
      <c r="S166" s="374">
        <f t="shared" si="42"/>
        <v>883.10581985235387</v>
      </c>
      <c r="T166" s="375">
        <f t="shared" si="17"/>
        <v>883.10581985235387</v>
      </c>
      <c r="U166" s="48"/>
      <c r="V166" s="929">
        <f t="shared" si="18"/>
        <v>0</v>
      </c>
      <c r="W166" s="340"/>
      <c r="X166" s="340"/>
      <c r="Y166" s="340"/>
      <c r="Z166" s="340"/>
      <c r="AA166" s="340"/>
      <c r="AB166" s="257" t="str">
        <f t="shared" si="43"/>
        <v>use the locking pin</v>
      </c>
      <c r="AC166" s="377" t="b">
        <f>IF(AD166=18,AF166)</f>
        <v>0</v>
      </c>
      <c r="AD166" s="377">
        <f t="shared" si="31"/>
        <v>1</v>
      </c>
      <c r="AE166" s="377">
        <f>IF(V166=0,0,18)</f>
        <v>0</v>
      </c>
      <c r="AF166" s="966">
        <f>SUM(V166:V174)/($B$146-B165)</f>
        <v>0</v>
      </c>
      <c r="AG166" s="971">
        <f>SUM(D150:D166)+$C$149</f>
        <v>17</v>
      </c>
      <c r="AH166" s="353" t="b">
        <f t="shared" si="19"/>
        <v>0</v>
      </c>
      <c r="AI166" s="944">
        <f t="shared" si="32"/>
        <v>58.499008599999996</v>
      </c>
      <c r="AJ166" s="575">
        <f t="shared" si="20"/>
        <v>0.85263112333231494</v>
      </c>
      <c r="AK166" s="944">
        <f t="shared" si="33"/>
        <v>247.81115503136576</v>
      </c>
      <c r="AL166" s="944">
        <f t="shared" si="34"/>
        <v>74.181912400000002</v>
      </c>
      <c r="AM166" s="968">
        <f t="shared" si="35"/>
        <v>0.96213198992991489</v>
      </c>
      <c r="AN166" s="944">
        <f t="shared" si="36"/>
        <v>241.56553059437579</v>
      </c>
      <c r="AO166" s="969">
        <f t="shared" si="21"/>
        <v>-8.5131108696401281</v>
      </c>
      <c r="AP166" s="251">
        <f t="shared" si="44"/>
        <v>-468.8</v>
      </c>
      <c r="AQ166" s="347">
        <f t="shared" si="22"/>
        <v>-442</v>
      </c>
      <c r="AR166" s="347">
        <f t="shared" si="37"/>
        <v>489.37668562574152</v>
      </c>
      <c r="AS166" s="348">
        <f t="shared" si="23"/>
        <v>-241.56553059437579</v>
      </c>
      <c r="AT166" s="348">
        <f t="shared" si="38"/>
        <v>233.05241972473567</v>
      </c>
      <c r="AU166" s="348"/>
      <c r="AV166" s="350">
        <f t="shared" si="39"/>
        <v>-231.50944631409953</v>
      </c>
      <c r="AW166" s="350">
        <f t="shared" si="40"/>
        <v>-210.49055368590044</v>
      </c>
      <c r="AX166" s="351">
        <f t="shared" si="24"/>
        <v>-50.105946796925707</v>
      </c>
      <c r="AY166" s="351">
        <f t="shared" si="25"/>
        <v>-47.508070195502761</v>
      </c>
      <c r="AZ166" s="1043"/>
      <c r="BA166" s="241">
        <f t="shared" si="26"/>
        <v>50.105946796925707</v>
      </c>
      <c r="BB166" s="242">
        <f t="shared" si="27"/>
        <v>47.508070195502761</v>
      </c>
      <c r="BC166" s="437">
        <f t="shared" si="41"/>
        <v>0.3</v>
      </c>
    </row>
    <row r="167" spans="2:89" ht="18.75" customHeight="1" thickBot="1" x14ac:dyDescent="0.25">
      <c r="B167" s="244">
        <v>19</v>
      </c>
      <c r="C167" s="245"/>
      <c r="D167" s="16">
        <v>1</v>
      </c>
      <c r="E167" s="234" t="s">
        <v>215</v>
      </c>
      <c r="F167" s="235"/>
      <c r="G167" s="235">
        <f t="shared" si="28"/>
        <v>1.3</v>
      </c>
      <c r="H167" s="888">
        <v>251.073172</v>
      </c>
      <c r="I167" s="889">
        <v>65.636175100000003</v>
      </c>
      <c r="J167" s="374">
        <f t="shared" si="29"/>
        <v>64.636175100000003</v>
      </c>
      <c r="K167" s="374">
        <f t="shared" si="11"/>
        <v>32.318087550000001</v>
      </c>
      <c r="L167" s="374">
        <f t="shared" si="12"/>
        <v>0.53461916118589337</v>
      </c>
      <c r="M167" s="374">
        <f t="shared" si="13"/>
        <v>134.22852861092153</v>
      </c>
      <c r="N167" s="374">
        <f t="shared" si="14"/>
        <v>268.45705722184306</v>
      </c>
      <c r="O167" s="374">
        <f>+C149+D150+D151+D152+D153+D154+D155+D156+D157+D158+D159+D160+D161+D162+D163+D164+D165+D166+(D167/2)</f>
        <v>17.5</v>
      </c>
      <c r="P167" s="374">
        <f t="shared" si="15"/>
        <v>0.30070579950427284</v>
      </c>
      <c r="Q167" s="374">
        <f t="shared" si="16"/>
        <v>80.726594024458635</v>
      </c>
      <c r="R167" s="374">
        <f t="shared" si="30"/>
        <v>883.10581985235387</v>
      </c>
      <c r="S167" s="374">
        <f t="shared" si="42"/>
        <v>963.83241387681255</v>
      </c>
      <c r="T167" s="375">
        <f t="shared" si="17"/>
        <v>963.83241387681255</v>
      </c>
      <c r="U167" s="48"/>
      <c r="V167" s="929">
        <f t="shared" si="18"/>
        <v>0</v>
      </c>
      <c r="W167" s="340"/>
      <c r="X167" s="340"/>
      <c r="Y167" s="340"/>
      <c r="Z167" s="340"/>
      <c r="AA167" s="340"/>
      <c r="AB167" s="235" t="str">
        <f t="shared" si="43"/>
        <v>use the locking pin</v>
      </c>
      <c r="AC167" s="377" t="b">
        <f>IF(AD167=19,AF167)</f>
        <v>0</v>
      </c>
      <c r="AD167" s="377">
        <f t="shared" si="31"/>
        <v>1</v>
      </c>
      <c r="AE167" s="377">
        <f>IF(V167=0,0,19)</f>
        <v>0</v>
      </c>
      <c r="AF167" s="966">
        <f>SUM(V167:V174)/($B$146-B166)</f>
        <v>0</v>
      </c>
      <c r="AG167" s="971">
        <f>SUM(D150:D167)+$C$149</f>
        <v>18</v>
      </c>
      <c r="AH167" s="353" t="b">
        <f t="shared" si="19"/>
        <v>0</v>
      </c>
      <c r="AI167" s="944">
        <f t="shared" si="32"/>
        <v>57.499008599999996</v>
      </c>
      <c r="AJ167" s="575">
        <f t="shared" si="20"/>
        <v>0.84338214868716044</v>
      </c>
      <c r="AK167" s="944">
        <f t="shared" si="33"/>
        <v>245.12300651443877</v>
      </c>
      <c r="AL167" s="944">
        <f t="shared" si="34"/>
        <v>75.181912400000002</v>
      </c>
      <c r="AM167" s="968">
        <f t="shared" si="35"/>
        <v>0.96674269922463818</v>
      </c>
      <c r="AN167" s="944">
        <f t="shared" si="36"/>
        <v>242.72315600217186</v>
      </c>
      <c r="AO167" s="969">
        <f t="shared" si="21"/>
        <v>-7.9838637903266214</v>
      </c>
      <c r="AP167" s="251">
        <f t="shared" si="44"/>
        <v>-498.1</v>
      </c>
      <c r="AQ167" s="347">
        <f t="shared" si="22"/>
        <v>-471.3</v>
      </c>
      <c r="AR167" s="347">
        <f t="shared" si="37"/>
        <v>487.84616251661066</v>
      </c>
      <c r="AS167" s="348">
        <f t="shared" si="23"/>
        <v>-242.72315600217186</v>
      </c>
      <c r="AT167" s="348">
        <f t="shared" si="38"/>
        <v>234.73929221184525</v>
      </c>
      <c r="AU167" s="348"/>
      <c r="AV167" s="350">
        <f t="shared" si="39"/>
        <v>-244.52230465290228</v>
      </c>
      <c r="AW167" s="350">
        <f t="shared" si="40"/>
        <v>-226.77769534709773</v>
      </c>
      <c r="AX167" s="351">
        <f t="shared" si="24"/>
        <v>-47.439435091478138</v>
      </c>
      <c r="AY167" s="351">
        <f t="shared" si="25"/>
        <v>-44.096047385499539</v>
      </c>
      <c r="AZ167" s="1043"/>
      <c r="BA167" s="241">
        <f t="shared" si="26"/>
        <v>47.439435091478138</v>
      </c>
      <c r="BB167" s="242">
        <f t="shared" si="27"/>
        <v>44.096047385499539</v>
      </c>
      <c r="BC167" s="437">
        <f t="shared" si="41"/>
        <v>0.3</v>
      </c>
    </row>
    <row r="168" spans="2:89" ht="18.75" customHeight="1" thickBot="1" x14ac:dyDescent="0.25">
      <c r="B168" s="244">
        <v>20</v>
      </c>
      <c r="C168" s="245"/>
      <c r="D168" s="16">
        <v>1</v>
      </c>
      <c r="E168" s="234" t="s">
        <v>215</v>
      </c>
      <c r="F168" s="235"/>
      <c r="G168" s="235">
        <f t="shared" si="28"/>
        <v>1.3</v>
      </c>
      <c r="H168" s="888">
        <v>251.073172</v>
      </c>
      <c r="I168" s="889">
        <v>65.636175100000003</v>
      </c>
      <c r="J168" s="374">
        <f t="shared" si="29"/>
        <v>64.636175100000003</v>
      </c>
      <c r="K168" s="374">
        <f t="shared" si="11"/>
        <v>32.318087550000001</v>
      </c>
      <c r="L168" s="374">
        <f t="shared" si="12"/>
        <v>0.53461916118589337</v>
      </c>
      <c r="M168" s="374">
        <f t="shared" si="13"/>
        <v>134.22852861092153</v>
      </c>
      <c r="N168" s="374">
        <f t="shared" si="14"/>
        <v>268.45705722184306</v>
      </c>
      <c r="O168" s="48">
        <f>+C149+D150+D151+D152+D153+D154+D155+D156+D157+D158+D159+D160+D161+D162+D163+D164+D165+D166+D167+(D168/2)</f>
        <v>18.5</v>
      </c>
      <c r="P168" s="374">
        <f t="shared" si="15"/>
        <v>0.31730465640509181</v>
      </c>
      <c r="Q168" s="374">
        <f t="shared" si="16"/>
        <v>85.182674301298988</v>
      </c>
      <c r="R168" s="374">
        <f t="shared" si="30"/>
        <v>963.83241387681255</v>
      </c>
      <c r="S168" s="374">
        <f t="shared" si="42"/>
        <v>1049.0150881781115</v>
      </c>
      <c r="T168" s="375">
        <f t="shared" si="17"/>
        <v>1049.0150881781115</v>
      </c>
      <c r="U168" s="48"/>
      <c r="V168" s="929">
        <f t="shared" si="18"/>
        <v>0</v>
      </c>
      <c r="W168" s="340"/>
      <c r="X168" s="340"/>
      <c r="Y168" s="340"/>
      <c r="Z168" s="340"/>
      <c r="AA168" s="340"/>
      <c r="AB168" s="248" t="str">
        <f t="shared" si="43"/>
        <v>use the locking pin</v>
      </c>
      <c r="AC168" s="377" t="b">
        <f>IF(AD168=20,AF168)</f>
        <v>0</v>
      </c>
      <c r="AD168" s="377">
        <f t="shared" si="31"/>
        <v>1</v>
      </c>
      <c r="AE168" s="377">
        <f>IF(V168=0,0,20)</f>
        <v>0</v>
      </c>
      <c r="AF168" s="966">
        <f>SUM(V168:V174)/($B$146-B167)</f>
        <v>0</v>
      </c>
      <c r="AG168" s="971">
        <f>SUM(D150:D168)+$C$149</f>
        <v>19</v>
      </c>
      <c r="AH168" s="353" t="b">
        <f t="shared" si="19"/>
        <v>0</v>
      </c>
      <c r="AI168" s="944">
        <f t="shared" si="32"/>
        <v>56.499008599999996</v>
      </c>
      <c r="AJ168" s="575">
        <f t="shared" si="20"/>
        <v>0.83387627166948974</v>
      </c>
      <c r="AK168" s="944">
        <f t="shared" si="33"/>
        <v>242.36019115516766</v>
      </c>
      <c r="AL168" s="944">
        <f t="shared" si="34"/>
        <v>76.181912400000002</v>
      </c>
      <c r="AM168" s="968">
        <f t="shared" si="35"/>
        <v>0.97105892932813076</v>
      </c>
      <c r="AN168" s="944">
        <f t="shared" si="36"/>
        <v>243.80684558533761</v>
      </c>
      <c r="AO168" s="969">
        <f t="shared" si="21"/>
        <v>-7.5165701246123398</v>
      </c>
      <c r="AP168" s="251">
        <f t="shared" si="44"/>
        <v>-527.4</v>
      </c>
      <c r="AQ168" s="347">
        <f t="shared" si="22"/>
        <v>-500.59999999999997</v>
      </c>
      <c r="AR168" s="347">
        <f t="shared" si="37"/>
        <v>486.1670367405053</v>
      </c>
      <c r="AS168" s="348">
        <f t="shared" si="23"/>
        <v>-243.80684558533761</v>
      </c>
      <c r="AT168" s="348">
        <f t="shared" si="38"/>
        <v>236.29027546072527</v>
      </c>
      <c r="AU168" s="348"/>
      <c r="AV168" s="350">
        <f t="shared" si="39"/>
        <v>-257.29491562264133</v>
      </c>
      <c r="AW168" s="350">
        <f t="shared" si="40"/>
        <v>-243.30508437735867</v>
      </c>
      <c r="AX168" s="351">
        <f t="shared" si="24"/>
        <v>-45.084450938055099</v>
      </c>
      <c r="AY168" s="351">
        <f t="shared" si="25"/>
        <v>-41.100661852550147</v>
      </c>
      <c r="AZ168" s="1043"/>
      <c r="BA168" s="241">
        <f t="shared" si="26"/>
        <v>45.084450938055099</v>
      </c>
      <c r="BB168" s="242">
        <f t="shared" si="27"/>
        <v>41.100661852550147</v>
      </c>
      <c r="BC168" s="437">
        <f t="shared" si="41"/>
        <v>0.3</v>
      </c>
    </row>
    <row r="169" spans="2:89" ht="18.75" customHeight="1" thickBot="1" x14ac:dyDescent="0.25">
      <c r="B169" s="244">
        <v>21</v>
      </c>
      <c r="C169" s="890"/>
      <c r="D169" s="16">
        <v>1</v>
      </c>
      <c r="E169" s="234" t="s">
        <v>215</v>
      </c>
      <c r="F169" s="235"/>
      <c r="G169" s="235">
        <f t="shared" si="28"/>
        <v>1.3</v>
      </c>
      <c r="H169" s="888">
        <v>251.073172</v>
      </c>
      <c r="I169" s="889">
        <v>65.636175100000003</v>
      </c>
      <c r="J169" s="374">
        <f t="shared" si="29"/>
        <v>64.636175100000003</v>
      </c>
      <c r="K169" s="374">
        <f t="shared" si="11"/>
        <v>32.318087550000001</v>
      </c>
      <c r="L169" s="374">
        <f t="shared" si="12"/>
        <v>0.53461916118589337</v>
      </c>
      <c r="M169" s="374">
        <f t="shared" si="13"/>
        <v>134.22852861092153</v>
      </c>
      <c r="N169" s="374">
        <f t="shared" si="14"/>
        <v>268.45705722184306</v>
      </c>
      <c r="O169" s="983">
        <f>+C149+D150+D151+D152+D153+D154+D155+D156+D157+D158+D159+D160+D161+D162+D163+D164+D165+D166+D167+D168+(D169/2)</f>
        <v>19.5</v>
      </c>
      <c r="P169" s="374">
        <f t="shared" si="15"/>
        <v>0.33380685923377057</v>
      </c>
      <c r="Q169" s="374">
        <f t="shared" si="16"/>
        <v>89.612807110364059</v>
      </c>
      <c r="R169" s="374">
        <f t="shared" si="30"/>
        <v>1049.0150881781115</v>
      </c>
      <c r="S169" s="374">
        <f t="shared" si="42"/>
        <v>1138.6278952884754</v>
      </c>
      <c r="T169" s="375">
        <f t="shared" si="17"/>
        <v>1138.6278952884754</v>
      </c>
      <c r="U169" s="48"/>
      <c r="V169" s="929">
        <f t="shared" si="18"/>
        <v>0</v>
      </c>
      <c r="W169" s="48"/>
      <c r="X169" s="48"/>
      <c r="Y169" s="48"/>
      <c r="Z169" s="48"/>
      <c r="AA169" s="48"/>
      <c r="AB169" s="248" t="str">
        <f t="shared" si="43"/>
        <v>use the locking pin</v>
      </c>
      <c r="AC169" s="48" t="b">
        <f>IF(AD169=21,AF169)</f>
        <v>0</v>
      </c>
      <c r="AD169" s="48">
        <f t="shared" si="31"/>
        <v>1</v>
      </c>
      <c r="AE169" s="48">
        <f>IF(V169=0,0,21)</f>
        <v>0</v>
      </c>
      <c r="AF169" s="966">
        <f>SUM(V169:V174)/($B$146-B168)</f>
        <v>0</v>
      </c>
      <c r="AG169" s="972">
        <f>SUM(D150:D169)+$C$149</f>
        <v>20</v>
      </c>
      <c r="AH169" s="353" t="b">
        <f t="shared" si="19"/>
        <v>0</v>
      </c>
      <c r="AI169" s="944">
        <f t="shared" si="32"/>
        <v>55.499008599999996</v>
      </c>
      <c r="AJ169" s="575">
        <f t="shared" si="20"/>
        <v>0.82411638786152763</v>
      </c>
      <c r="AK169" s="944">
        <f t="shared" si="33"/>
        <v>239.52355053387478</v>
      </c>
      <c r="AL169" s="944">
        <f t="shared" si="34"/>
        <v>77.181912400000002</v>
      </c>
      <c r="AM169" s="968">
        <f t="shared" si="35"/>
        <v>0.97507936547489105</v>
      </c>
      <c r="AN169" s="944">
        <f t="shared" si="36"/>
        <v>244.81626924152818</v>
      </c>
      <c r="AO169" s="969">
        <f t="shared" si="21"/>
        <v>-7.1009530182693643</v>
      </c>
      <c r="AP169" s="251">
        <f t="shared" si="44"/>
        <v>-556.70000000000005</v>
      </c>
      <c r="AQ169" s="347">
        <f t="shared" si="22"/>
        <v>-529.90000000000009</v>
      </c>
      <c r="AR169" s="347">
        <f t="shared" si="37"/>
        <v>484.33981977540293</v>
      </c>
      <c r="AS169" s="348">
        <f t="shared" si="23"/>
        <v>-244.81626924152818</v>
      </c>
      <c r="AT169" s="48">
        <f t="shared" si="38"/>
        <v>237.71531622325881</v>
      </c>
      <c r="AU169" s="348"/>
      <c r="AV169" s="350">
        <f t="shared" si="39"/>
        <v>-269.82362196212313</v>
      </c>
      <c r="AW169" s="350">
        <f t="shared" si="40"/>
        <v>-260.07637803787691</v>
      </c>
      <c r="AX169" s="351">
        <f t="shared" si="24"/>
        <v>-42.991046950027105</v>
      </c>
      <c r="AY169" s="351">
        <f t="shared" si="25"/>
        <v>-38.4502432533247</v>
      </c>
      <c r="AZ169" s="1043"/>
      <c r="BA169" s="241">
        <f t="shared" si="26"/>
        <v>42.991046950027105</v>
      </c>
      <c r="BB169" s="242">
        <f t="shared" si="27"/>
        <v>38.4502432533247</v>
      </c>
      <c r="BC169" s="437">
        <f t="shared" si="41"/>
        <v>0.3</v>
      </c>
    </row>
    <row r="170" spans="2:89" ht="18.75" customHeight="1" thickBot="1" x14ac:dyDescent="0.25">
      <c r="B170" s="244">
        <v>22</v>
      </c>
      <c r="C170" s="890"/>
      <c r="D170" s="16">
        <v>1</v>
      </c>
      <c r="E170" s="234" t="s">
        <v>215</v>
      </c>
      <c r="F170" s="235"/>
      <c r="G170" s="235">
        <f t="shared" si="28"/>
        <v>1.3</v>
      </c>
      <c r="H170" s="888">
        <v>251.073172</v>
      </c>
      <c r="I170" s="889">
        <v>65.636175100000003</v>
      </c>
      <c r="J170" s="374">
        <f t="shared" si="29"/>
        <v>64.636175100000003</v>
      </c>
      <c r="K170" s="374">
        <f t="shared" si="11"/>
        <v>32.318087550000001</v>
      </c>
      <c r="L170" s="374">
        <f t="shared" si="12"/>
        <v>0.53461916118589337</v>
      </c>
      <c r="M170" s="374">
        <f t="shared" si="13"/>
        <v>134.22852861092153</v>
      </c>
      <c r="N170" s="374">
        <f t="shared" si="14"/>
        <v>268.45705722184306</v>
      </c>
      <c r="O170" s="983">
        <f>+C149+D150+D151+D152+D153+D154+D155+D156+D157+D158+D159+D160+D161+D162+D163+D164+D165+D166+D167+D168+D169+(D170/2)</f>
        <v>20.5</v>
      </c>
      <c r="P170" s="374">
        <f t="shared" si="15"/>
        <v>0.35020738125946715</v>
      </c>
      <c r="Q170" s="374">
        <f t="shared" si="16"/>
        <v>94.015642990284576</v>
      </c>
      <c r="R170" s="374">
        <f t="shared" si="30"/>
        <v>1138.6278952884754</v>
      </c>
      <c r="S170" s="374">
        <f t="shared" si="42"/>
        <v>1232.6435382787599</v>
      </c>
      <c r="T170" s="375">
        <f t="shared" si="17"/>
        <v>1232.6435382787599</v>
      </c>
      <c r="U170" s="48"/>
      <c r="V170" s="929">
        <f t="shared" si="18"/>
        <v>0</v>
      </c>
      <c r="W170" s="48"/>
      <c r="X170" s="48"/>
      <c r="Y170" s="48"/>
      <c r="Z170" s="48"/>
      <c r="AA170" s="48"/>
      <c r="AB170" s="248" t="str">
        <f t="shared" si="43"/>
        <v>use the locking pin</v>
      </c>
      <c r="AC170" s="48" t="b">
        <f>IF(AD170=22,AF170)</f>
        <v>0</v>
      </c>
      <c r="AD170" s="48">
        <f t="shared" si="31"/>
        <v>1</v>
      </c>
      <c r="AE170" s="48">
        <f>IF(V170=0,0,22)</f>
        <v>0</v>
      </c>
      <c r="AF170" s="966">
        <f>SUM(V170:V174)/($B$146-B169)</f>
        <v>0</v>
      </c>
      <c r="AG170" s="972">
        <f>SUM(D150:D170)+$C$149</f>
        <v>21</v>
      </c>
      <c r="AH170" s="353" t="b">
        <f t="shared" si="19"/>
        <v>0</v>
      </c>
      <c r="AI170" s="944">
        <f t="shared" si="32"/>
        <v>54.499008599999996</v>
      </c>
      <c r="AJ170" s="575">
        <f t="shared" si="20"/>
        <v>0.81410547021842816</v>
      </c>
      <c r="AK170" s="944">
        <f t="shared" si="33"/>
        <v>236.61394871877258</v>
      </c>
      <c r="AL170" s="944">
        <f t="shared" si="34"/>
        <v>78.181912400000002</v>
      </c>
      <c r="AM170" s="968">
        <f t="shared" si="35"/>
        <v>0.97880278300112167</v>
      </c>
      <c r="AN170" s="944">
        <f t="shared" si="36"/>
        <v>245.7511194905193</v>
      </c>
      <c r="AO170" s="969">
        <f t="shared" si="21"/>
        <v>-6.7288894928128338</v>
      </c>
      <c r="AP170" s="251">
        <f t="shared" si="44"/>
        <v>-586</v>
      </c>
      <c r="AQ170" s="347">
        <f t="shared" si="22"/>
        <v>-559.20000000000005</v>
      </c>
      <c r="AR170" s="347">
        <f t="shared" si="37"/>
        <v>482.36506820929185</v>
      </c>
      <c r="AS170" s="348">
        <f t="shared" si="23"/>
        <v>-245.7511194905193</v>
      </c>
      <c r="AT170" s="48">
        <f t="shared" si="38"/>
        <v>239.02222999770646</v>
      </c>
      <c r="AU170" s="348"/>
      <c r="AV170" s="350">
        <f t="shared" si="39"/>
        <v>-282.10441446990603</v>
      </c>
      <c r="AW170" s="350">
        <f t="shared" si="40"/>
        <v>-277.09558553009401</v>
      </c>
      <c r="AX170" s="351">
        <f t="shared" si="24"/>
        <v>-41.119526689425307</v>
      </c>
      <c r="AY170" s="351">
        <f t="shared" si="25"/>
        <v>-36.088629780476772</v>
      </c>
      <c r="AZ170" s="1043"/>
      <c r="BA170" s="241">
        <f t="shared" si="26"/>
        <v>41.119526689425307</v>
      </c>
      <c r="BB170" s="242">
        <f t="shared" si="27"/>
        <v>36.088629780476772</v>
      </c>
      <c r="BC170" s="437">
        <f t="shared" si="41"/>
        <v>0.3</v>
      </c>
    </row>
    <row r="171" spans="2:89" ht="18.75" customHeight="1" thickBot="1" x14ac:dyDescent="0.25">
      <c r="B171" s="244">
        <v>23</v>
      </c>
      <c r="C171" s="890"/>
      <c r="D171" s="16">
        <v>1</v>
      </c>
      <c r="E171" s="234" t="s">
        <v>215</v>
      </c>
      <c r="F171" s="235"/>
      <c r="G171" s="235">
        <f t="shared" si="28"/>
        <v>1.3</v>
      </c>
      <c r="H171" s="888">
        <v>251.073172</v>
      </c>
      <c r="I171" s="889">
        <v>65.636175100000003</v>
      </c>
      <c r="J171" s="374">
        <f t="shared" si="29"/>
        <v>64.636175100000003</v>
      </c>
      <c r="K171" s="374">
        <f t="shared" si="11"/>
        <v>32.318087550000001</v>
      </c>
      <c r="L171" s="374">
        <f t="shared" si="12"/>
        <v>0.53461916118589337</v>
      </c>
      <c r="M171" s="374">
        <f t="shared" si="13"/>
        <v>134.22852861092153</v>
      </c>
      <c r="N171" s="374">
        <f t="shared" si="14"/>
        <v>268.45705722184306</v>
      </c>
      <c r="O171" s="983">
        <f>+C149+D150+D151+D152+D153+D154+D155+D156+D157+D158+D159+D160+D161+D162+D163+D164+D165+D166+D167+D168+D169+D170+(D171/2)</f>
        <v>21.5</v>
      </c>
      <c r="P171" s="374">
        <f t="shared" si="15"/>
        <v>0.36650122672429686</v>
      </c>
      <c r="Q171" s="374">
        <f t="shared" si="16"/>
        <v>98.389840794600232</v>
      </c>
      <c r="R171" s="374">
        <f t="shared" si="30"/>
        <v>1232.6435382787599</v>
      </c>
      <c r="S171" s="374">
        <f t="shared" si="42"/>
        <v>1331.0333790733603</v>
      </c>
      <c r="T171" s="375">
        <f t="shared" si="17"/>
        <v>1331.0333790733603</v>
      </c>
      <c r="U171" s="48"/>
      <c r="V171" s="929">
        <f t="shared" si="18"/>
        <v>0</v>
      </c>
      <c r="W171" s="48"/>
      <c r="X171" s="48"/>
      <c r="Y171" s="48"/>
      <c r="Z171" s="48"/>
      <c r="AA171" s="48"/>
      <c r="AB171" s="248" t="str">
        <f t="shared" si="43"/>
        <v>use the locking pin</v>
      </c>
      <c r="AC171" s="48" t="b">
        <f>IF(AD171=23,AF171)</f>
        <v>0</v>
      </c>
      <c r="AD171" s="48">
        <f t="shared" si="31"/>
        <v>1</v>
      </c>
      <c r="AE171" s="48">
        <f>IF(V171=0,0,23)</f>
        <v>0</v>
      </c>
      <c r="AF171" s="966">
        <f>SUM(V171:V174)/($B$146-B170)</f>
        <v>0</v>
      </c>
      <c r="AG171" s="972">
        <f>SUM(D150:D171)+$C$149</f>
        <v>22</v>
      </c>
      <c r="AH171" s="353" t="b">
        <f t="shared" si="19"/>
        <v>0</v>
      </c>
      <c r="AI171" s="944">
        <f t="shared" si="32"/>
        <v>53.499008599999996</v>
      </c>
      <c r="AJ171" s="575">
        <f t="shared" si="20"/>
        <v>0.80384656816268329</v>
      </c>
      <c r="AK171" s="944">
        <f t="shared" si="33"/>
        <v>233.63227200275978</v>
      </c>
      <c r="AL171" s="944">
        <f t="shared" si="34"/>
        <v>79.181912400000002</v>
      </c>
      <c r="AM171" s="968">
        <f t="shared" si="35"/>
        <v>0.98222804771777472</v>
      </c>
      <c r="AN171" s="944">
        <f t="shared" si="36"/>
        <v>246.61111156786907</v>
      </c>
      <c r="AO171" s="969">
        <f t="shared" si="21"/>
        <v>-6.3938742640287787</v>
      </c>
      <c r="AP171" s="251">
        <f t="shared" si="44"/>
        <v>-615.30000000000007</v>
      </c>
      <c r="AQ171" s="347">
        <f t="shared" si="22"/>
        <v>-588.50000000000011</v>
      </c>
      <c r="AR171" s="347">
        <f t="shared" si="37"/>
        <v>480.24338357062885</v>
      </c>
      <c r="AS171" s="348">
        <f t="shared" si="23"/>
        <v>-246.61111156786907</v>
      </c>
      <c r="AT171" s="48">
        <f t="shared" si="38"/>
        <v>240.21723730384031</v>
      </c>
      <c r="AU171" s="348"/>
      <c r="AV171" s="350">
        <f t="shared" si="39"/>
        <v>-294.13291658026731</v>
      </c>
      <c r="AW171" s="350">
        <f t="shared" si="40"/>
        <v>-294.36708341973281</v>
      </c>
      <c r="AX171" s="351">
        <f t="shared" si="24"/>
        <v>-39.437952524549978</v>
      </c>
      <c r="AY171" s="351">
        <f t="shared" si="25"/>
        <v>-33.971189590315632</v>
      </c>
      <c r="AZ171" s="1043"/>
      <c r="BA171" s="241">
        <f t="shared" si="26"/>
        <v>39.437952524549978</v>
      </c>
      <c r="BB171" s="242">
        <f t="shared" si="27"/>
        <v>33.971189590315632</v>
      </c>
      <c r="BC171" s="437">
        <f t="shared" si="41"/>
        <v>0.3</v>
      </c>
    </row>
    <row r="172" spans="2:89" ht="18.75" customHeight="1" thickBot="1" x14ac:dyDescent="0.25">
      <c r="B172" s="244">
        <v>24</v>
      </c>
      <c r="C172" s="891"/>
      <c r="D172" s="16">
        <v>1</v>
      </c>
      <c r="E172" s="234" t="s">
        <v>215</v>
      </c>
      <c r="F172" s="235"/>
      <c r="G172" s="235">
        <f t="shared" si="28"/>
        <v>1.3</v>
      </c>
      <c r="H172" s="888">
        <v>251.073172</v>
      </c>
      <c r="I172" s="889">
        <v>65.636175100000003</v>
      </c>
      <c r="J172" s="374">
        <f t="shared" si="29"/>
        <v>64.636175100000003</v>
      </c>
      <c r="K172" s="374">
        <f t="shared" si="11"/>
        <v>32.318087550000001</v>
      </c>
      <c r="L172" s="374">
        <f t="shared" si="12"/>
        <v>0.53461916118589337</v>
      </c>
      <c r="M172" s="374">
        <f t="shared" si="13"/>
        <v>134.22852861092153</v>
      </c>
      <c r="N172" s="374">
        <f t="shared" si="14"/>
        <v>268.45705722184306</v>
      </c>
      <c r="O172" s="983">
        <f>+C149+D150+D151+D152+D153+D154+D155+D156+D157+D158+D159+D160+D161+D162+D163+D164+D165+D166+D167+D168+D169+D170+D171+(D172/2)</f>
        <v>22.5</v>
      </c>
      <c r="P172" s="374">
        <f t="shared" si="15"/>
        <v>0.38268343236508939</v>
      </c>
      <c r="Q172" s="374">
        <f t="shared" si="16"/>
        <v>102.73406810028611</v>
      </c>
      <c r="R172" s="374">
        <f t="shared" si="30"/>
        <v>1331.0333790733603</v>
      </c>
      <c r="S172" s="374">
        <f t="shared" si="42"/>
        <v>1433.7674471736464</v>
      </c>
      <c r="T172" s="375">
        <f t="shared" si="17"/>
        <v>1433.7674471736464</v>
      </c>
      <c r="U172" s="48"/>
      <c r="V172" s="929">
        <f t="shared" si="18"/>
        <v>0</v>
      </c>
      <c r="W172" s="48"/>
      <c r="X172" s="48"/>
      <c r="Y172" s="48"/>
      <c r="Z172" s="48"/>
      <c r="AA172" s="48"/>
      <c r="AB172" s="248" t="str">
        <f t="shared" si="43"/>
        <v>use the locking pin</v>
      </c>
      <c r="AC172" s="48" t="b">
        <f>IF(AD172=24,AF172)</f>
        <v>0</v>
      </c>
      <c r="AD172" s="48">
        <f t="shared" si="31"/>
        <v>1</v>
      </c>
      <c r="AE172" s="48">
        <f>IF(V172=0,0,24)</f>
        <v>0</v>
      </c>
      <c r="AF172" s="966">
        <f>SUM(V172:V174)/($B$146-B171)</f>
        <v>0</v>
      </c>
      <c r="AG172" s="972">
        <f>SUM(D150:D172)+$C$149</f>
        <v>23</v>
      </c>
      <c r="AH172" s="353" t="b">
        <f t="shared" si="19"/>
        <v>0</v>
      </c>
      <c r="AI172" s="944">
        <f t="shared" si="32"/>
        <v>52.499008599999996</v>
      </c>
      <c r="AJ172" s="575">
        <f t="shared" si="20"/>
        <v>0.79334280665523971</v>
      </c>
      <c r="AK172" s="944">
        <f t="shared" si="33"/>
        <v>230.57942863344837</v>
      </c>
      <c r="AL172" s="944">
        <f t="shared" si="34"/>
        <v>80.181912400000002</v>
      </c>
      <c r="AM172" s="968">
        <f t="shared" si="35"/>
        <v>0.98535411625603619</v>
      </c>
      <c r="AN172" s="944">
        <f t="shared" si="36"/>
        <v>247.39598351165978</v>
      </c>
      <c r="AO172" s="969">
        <f t="shared" si="21"/>
        <v>-6.0906361352880163</v>
      </c>
      <c r="AP172" s="251">
        <f t="shared" si="44"/>
        <v>-644.6</v>
      </c>
      <c r="AQ172" s="347">
        <f t="shared" si="22"/>
        <v>-617.80000000000007</v>
      </c>
      <c r="AR172" s="347">
        <f t="shared" si="37"/>
        <v>477.97541214510818</v>
      </c>
      <c r="AS172" s="348">
        <f t="shared" si="23"/>
        <v>-247.39598351165978</v>
      </c>
      <c r="AT172" s="48">
        <f t="shared" si="38"/>
        <v>241.30534737637177</v>
      </c>
      <c r="AU172" s="348"/>
      <c r="AV172" s="350">
        <f t="shared" si="39"/>
        <v>-305.90436725171156</v>
      </c>
      <c r="AW172" s="350">
        <f t="shared" si="40"/>
        <v>-311.89563274828851</v>
      </c>
      <c r="AX172" s="351">
        <f t="shared" si="24"/>
        <v>-37.920347800902789</v>
      </c>
      <c r="AY172" s="351">
        <f t="shared" si="25"/>
        <v>-32.062007126821094</v>
      </c>
      <c r="AZ172" s="1043"/>
      <c r="BA172" s="241">
        <f t="shared" si="26"/>
        <v>37.920347800902789</v>
      </c>
      <c r="BB172" s="242">
        <f t="shared" si="27"/>
        <v>32.062007126821094</v>
      </c>
      <c r="BC172" s="437">
        <f t="shared" si="41"/>
        <v>0.3</v>
      </c>
    </row>
    <row r="173" spans="2:89" ht="18.75" customHeight="1" thickBot="1" x14ac:dyDescent="0.25">
      <c r="B173" s="244">
        <v>25</v>
      </c>
      <c r="C173" s="892"/>
      <c r="D173" s="16">
        <v>1</v>
      </c>
      <c r="E173" s="234" t="s">
        <v>215</v>
      </c>
      <c r="F173" s="235"/>
      <c r="G173" s="235">
        <f t="shared" si="28"/>
        <v>1.3</v>
      </c>
      <c r="H173" s="888">
        <v>251.073172</v>
      </c>
      <c r="I173" s="889">
        <v>65.636175100000003</v>
      </c>
      <c r="J173" s="374">
        <f t="shared" si="29"/>
        <v>64.636175100000003</v>
      </c>
      <c r="K173" s="374">
        <f t="shared" si="11"/>
        <v>32.318087550000001</v>
      </c>
      <c r="L173" s="374">
        <f t="shared" si="12"/>
        <v>0.53461916118589337</v>
      </c>
      <c r="M173" s="374">
        <f t="shared" si="13"/>
        <v>134.22852861092153</v>
      </c>
      <c r="N173" s="374">
        <f t="shared" si="14"/>
        <v>268.45705722184306</v>
      </c>
      <c r="O173" s="983">
        <f>+C149+D150+D151+D152+D153+D154+D155+D156+D157+D158+D159+D160+D161+D162+D163+D164+D165+D166+D167+D168+D169+D170+D171+D172+(D173/2)</f>
        <v>23.5</v>
      </c>
      <c r="P173" s="374">
        <f t="shared" si="15"/>
        <v>0.39874906892524581</v>
      </c>
      <c r="Q173" s="374">
        <f t="shared" si="16"/>
        <v>107.04700161362136</v>
      </c>
      <c r="R173" s="374">
        <f t="shared" si="30"/>
        <v>1433.7674471736464</v>
      </c>
      <c r="S173" s="374">
        <f t="shared" si="42"/>
        <v>1540.8144487872678</v>
      </c>
      <c r="T173" s="375">
        <f t="shared" si="17"/>
        <v>1540.8144487872678</v>
      </c>
      <c r="U173" s="48"/>
      <c r="V173" s="929">
        <f t="shared" si="18"/>
        <v>0</v>
      </c>
      <c r="W173" s="48"/>
      <c r="X173" s="48"/>
      <c r="Y173" s="48"/>
      <c r="Z173" s="48"/>
      <c r="AA173" s="48"/>
      <c r="AB173" s="248" t="str">
        <f t="shared" si="43"/>
        <v>use the locking pin</v>
      </c>
      <c r="AC173" s="48" t="b">
        <f>IF(AD173=25,AF173)</f>
        <v>0</v>
      </c>
      <c r="AD173" s="48">
        <f t="shared" si="31"/>
        <v>1</v>
      </c>
      <c r="AE173" s="48">
        <f>IF(V173=0,0,25)</f>
        <v>0</v>
      </c>
      <c r="AF173" s="966">
        <f>SUM(V173:V174)/($B$146-B172)</f>
        <v>0</v>
      </c>
      <c r="AG173" s="972">
        <f>SUM(D150:D173)+$C$149</f>
        <v>24</v>
      </c>
      <c r="AH173" s="353" t="b">
        <f t="shared" si="19"/>
        <v>0</v>
      </c>
      <c r="AI173" s="944">
        <f t="shared" si="32"/>
        <v>51.499008599999996</v>
      </c>
      <c r="AJ173" s="575">
        <f t="shared" si="20"/>
        <v>0.78259738524360445</v>
      </c>
      <c r="AK173" s="944">
        <f t="shared" si="33"/>
        <v>227.45634853650211</v>
      </c>
      <c r="AL173" s="944">
        <f t="shared" si="34"/>
        <v>81.181912400000002</v>
      </c>
      <c r="AM173" s="968">
        <f t="shared" si="35"/>
        <v>0.9881800363851464</v>
      </c>
      <c r="AN173" s="944">
        <f t="shared" si="36"/>
        <v>248.10549624229412</v>
      </c>
      <c r="AO173" s="969">
        <f t="shared" si="21"/>
        <v>-5.8148586066773866</v>
      </c>
      <c r="AP173" s="251">
        <f t="shared" si="44"/>
        <v>-673.9</v>
      </c>
      <c r="AQ173" s="347">
        <f t="shared" si="22"/>
        <v>-647.1</v>
      </c>
      <c r="AR173" s="347">
        <f t="shared" si="37"/>
        <v>475.56184477879623</v>
      </c>
      <c r="AS173" s="348">
        <f t="shared" si="23"/>
        <v>-248.10549624229412</v>
      </c>
      <c r="AT173" s="48">
        <f t="shared" si="38"/>
        <v>242.29063763561675</v>
      </c>
      <c r="AU173" s="348"/>
      <c r="AV173" s="350">
        <f t="shared" si="39"/>
        <v>-317.41360203648071</v>
      </c>
      <c r="AW173" s="350">
        <f t="shared" si="40"/>
        <v>-329.68639796351925</v>
      </c>
      <c r="AX173" s="351">
        <f t="shared" si="24"/>
        <v>-36.545377783359136</v>
      </c>
      <c r="AY173" s="351">
        <f t="shared" si="25"/>
        <v>-30.331854943880725</v>
      </c>
      <c r="AZ173" s="1043"/>
      <c r="BA173" s="241">
        <f t="shared" si="26"/>
        <v>36.545377783359136</v>
      </c>
      <c r="BB173" s="242">
        <f t="shared" si="27"/>
        <v>30.331854943880725</v>
      </c>
      <c r="BC173" s="437">
        <f t="shared" si="41"/>
        <v>0.3</v>
      </c>
    </row>
    <row r="174" spans="2:89" ht="19.5" customHeight="1" thickBot="1" x14ac:dyDescent="0.25">
      <c r="B174" s="244">
        <v>26</v>
      </c>
      <c r="C174" s="892"/>
      <c r="D174" s="16">
        <v>1</v>
      </c>
      <c r="E174" s="234" t="s">
        <v>215</v>
      </c>
      <c r="F174" s="235"/>
      <c r="G174" s="235">
        <f t="shared" si="28"/>
        <v>1.3</v>
      </c>
      <c r="H174" s="888">
        <v>251.073172</v>
      </c>
      <c r="I174" s="889">
        <v>65.636175100000003</v>
      </c>
      <c r="J174" s="374">
        <f t="shared" si="29"/>
        <v>64.636175100000003</v>
      </c>
      <c r="K174" s="374">
        <f t="shared" si="11"/>
        <v>32.318087550000001</v>
      </c>
      <c r="L174" s="374">
        <f t="shared" si="12"/>
        <v>0.53461916118589337</v>
      </c>
      <c r="M174" s="374">
        <f t="shared" si="13"/>
        <v>134.22852861092153</v>
      </c>
      <c r="N174" s="374">
        <f t="shared" si="14"/>
        <v>268.45705722184306</v>
      </c>
      <c r="O174" s="983">
        <f>+C149+D150+D151+D152+D153+D154+D155+D156+D157+D158+D159+D160+D161+D162+D163+D164+D165+D166+D167+D168+D169+D170+D171+D172+D173+(D174/2)</f>
        <v>24.5</v>
      </c>
      <c r="P174" s="374">
        <f t="shared" si="15"/>
        <v>0.41469324265623864</v>
      </c>
      <c r="Q174" s="374">
        <f t="shared" si="16"/>
        <v>111.3273275732775</v>
      </c>
      <c r="R174" s="374">
        <f t="shared" si="30"/>
        <v>1540.8144487872678</v>
      </c>
      <c r="S174" s="374">
        <f t="shared" si="42"/>
        <v>1652.1417763605452</v>
      </c>
      <c r="T174" s="375">
        <f t="shared" si="17"/>
        <v>1652.1417763605452</v>
      </c>
      <c r="U174" s="48"/>
      <c r="V174" s="929">
        <f t="shared" si="18"/>
        <v>0</v>
      </c>
      <c r="W174" s="48"/>
      <c r="X174" s="48"/>
      <c r="Y174" s="48"/>
      <c r="Z174" s="48"/>
      <c r="AA174" s="48"/>
      <c r="AB174" s="248" t="str">
        <f t="shared" si="43"/>
        <v>use the locking pin</v>
      </c>
      <c r="AC174" s="48" t="b">
        <f>IF(AD174=26,AF174)</f>
        <v>0</v>
      </c>
      <c r="AD174" s="48">
        <f t="shared" si="31"/>
        <v>1</v>
      </c>
      <c r="AE174" s="48">
        <f>IF(V174=0,0,26)</f>
        <v>0</v>
      </c>
      <c r="AF174" s="966">
        <f t="shared" ref="AF174" si="45">SUM(V174:V174)/($B$146-B173)</f>
        <v>0</v>
      </c>
      <c r="AG174" s="972">
        <f>SUM(D150:D174)+$C$149</f>
        <v>25</v>
      </c>
      <c r="AH174" s="353" t="b">
        <f t="shared" si="19"/>
        <v>0</v>
      </c>
      <c r="AI174" s="944">
        <f t="shared" si="32"/>
        <v>50.499008599999996</v>
      </c>
      <c r="AJ174" s="575">
        <f t="shared" si="20"/>
        <v>0.77161357708723288</v>
      </c>
      <c r="AK174" s="944">
        <f t="shared" si="33"/>
        <v>224.26398303237247</v>
      </c>
      <c r="AL174" s="944">
        <f t="shared" si="34"/>
        <v>82.181912400000002</v>
      </c>
      <c r="AM174" s="968">
        <f t="shared" si="35"/>
        <v>0.99070494730245873</v>
      </c>
      <c r="AN174" s="944">
        <f t="shared" si="36"/>
        <v>248.73943363532115</v>
      </c>
      <c r="AO174" s="969">
        <f t="shared" si="21"/>
        <v>-5.5629730993213133</v>
      </c>
      <c r="AP174" s="251">
        <f t="shared" si="44"/>
        <v>-703.2</v>
      </c>
      <c r="AQ174" s="347">
        <f t="shared" si="22"/>
        <v>-676.40000000000009</v>
      </c>
      <c r="AR174" s="347">
        <f t="shared" si="37"/>
        <v>473.00341666769361</v>
      </c>
      <c r="AS174" s="348">
        <f t="shared" si="23"/>
        <v>-248.73943363532115</v>
      </c>
      <c r="AT174" s="48">
        <f t="shared" si="38"/>
        <v>243.17646053599984</v>
      </c>
      <c r="AU174" s="348"/>
      <c r="AV174" s="350">
        <f t="shared" si="39"/>
        <v>-328.65503218276297</v>
      </c>
      <c r="AW174" s="350">
        <f t="shared" si="40"/>
        <v>-347.74496781723713</v>
      </c>
      <c r="AX174" s="351">
        <f t="shared" si="24"/>
        <v>-35.295367069107627</v>
      </c>
      <c r="AY174" s="351">
        <f t="shared" si="25"/>
        <v>-28.756706567945674</v>
      </c>
      <c r="AZ174" s="1043"/>
      <c r="BA174" s="241">
        <f t="shared" si="26"/>
        <v>35.295367069107627</v>
      </c>
      <c r="BB174" s="242">
        <f t="shared" si="27"/>
        <v>28.756706567945674</v>
      </c>
      <c r="BC174" s="437">
        <f t="shared" si="41"/>
        <v>0.3</v>
      </c>
    </row>
    <row r="175" spans="2:89" ht="17" hidden="1" thickBot="1" x14ac:dyDescent="0.25">
      <c r="AF175" s="544"/>
      <c r="AG175" s="1014" t="s">
        <v>71</v>
      </c>
      <c r="AH175" s="1015">
        <f>MAX(AH149:AH174)</f>
        <v>0</v>
      </c>
    </row>
    <row r="176" spans="2:89" ht="19" hidden="1" thickBot="1" x14ac:dyDescent="0.25">
      <c r="AV176" s="48"/>
      <c r="AW176" s="48"/>
      <c r="AX176" s="48"/>
      <c r="AY176" s="48"/>
    </row>
    <row r="177" spans="2:94" ht="20" hidden="1" x14ac:dyDescent="0.2">
      <c r="B177" s="545"/>
      <c r="AI177" s="1069"/>
      <c r="AJ177" s="496"/>
      <c r="AK177" s="496"/>
      <c r="AL177" s="496"/>
      <c r="AM177" s="496"/>
      <c r="AN177" s="496"/>
      <c r="AO177" s="496"/>
      <c r="AP177" s="496"/>
      <c r="AQ177" s="496"/>
      <c r="AR177" s="496"/>
      <c r="AS177" s="496"/>
      <c r="AT177" s="496"/>
      <c r="AU177" s="496"/>
      <c r="AV177" s="1070" t="s">
        <v>317</v>
      </c>
      <c r="AW177" s="1070"/>
      <c r="AX177" s="1070"/>
      <c r="AY177" s="1071"/>
    </row>
    <row r="178" spans="2:94" ht="20" hidden="1" x14ac:dyDescent="0.2">
      <c r="B178" s="545"/>
      <c r="AI178" s="1072" t="s">
        <v>321</v>
      </c>
      <c r="AJ178" s="1065">
        <v>0.5</v>
      </c>
      <c r="AK178" s="1065">
        <v>1</v>
      </c>
      <c r="AL178" s="1065">
        <v>2</v>
      </c>
      <c r="AM178" s="1065">
        <v>2.5</v>
      </c>
      <c r="AN178" s="1065">
        <v>3</v>
      </c>
      <c r="AO178" s="1065">
        <v>4</v>
      </c>
      <c r="AP178" s="1065">
        <v>5</v>
      </c>
      <c r="AQ178" s="1065">
        <v>5.5</v>
      </c>
      <c r="AR178" s="1065">
        <v>6.5</v>
      </c>
      <c r="AS178" s="1065">
        <v>7.5</v>
      </c>
      <c r="AT178" s="1065">
        <v>9</v>
      </c>
      <c r="AU178" s="1065">
        <v>10</v>
      </c>
      <c r="AV178" s="1059" t="s">
        <v>311</v>
      </c>
      <c r="AW178" s="360" t="s">
        <v>318</v>
      </c>
      <c r="AX178" s="1059" t="s">
        <v>316</v>
      </c>
      <c r="AY178" s="1073"/>
    </row>
    <row r="179" spans="2:94" ht="20" hidden="1" x14ac:dyDescent="0.2">
      <c r="B179" s="545"/>
      <c r="AI179" s="1072" t="s">
        <v>311</v>
      </c>
      <c r="AJ179" s="1065">
        <v>42.701900000000002</v>
      </c>
      <c r="AK179" s="1065">
        <v>44.560600000000001</v>
      </c>
      <c r="AL179" s="1065">
        <v>47.3825</v>
      </c>
      <c r="AM179" s="1065">
        <v>44.2331</v>
      </c>
      <c r="AN179" s="1065">
        <v>46.136200000000002</v>
      </c>
      <c r="AO179" s="1065">
        <v>48.924700000000001</v>
      </c>
      <c r="AP179" s="1065">
        <v>45.390900000000002</v>
      </c>
      <c r="AQ179" s="1065">
        <v>47.344299999999997</v>
      </c>
      <c r="AR179" s="1065">
        <v>50.048400000000001</v>
      </c>
      <c r="AS179" s="1065">
        <v>48.7883</v>
      </c>
      <c r="AT179" s="1065">
        <v>51.122100000000003</v>
      </c>
      <c r="AU179" s="1065">
        <v>49.733899999999998</v>
      </c>
      <c r="AV179" s="1066">
        <f>SUM(AJ180:AU180)</f>
        <v>42.701900000000002</v>
      </c>
      <c r="AW179" s="360">
        <f>+SIN((AV179+AH175)*3.14159265358979/180)</f>
        <v>0.67818404018606215</v>
      </c>
      <c r="AX179" s="187">
        <f>+AW185/AW179</f>
        <v>16.966955509184384</v>
      </c>
      <c r="AY179" s="1074"/>
    </row>
    <row r="180" spans="2:94" ht="19" thickBot="1" x14ac:dyDescent="0.25">
      <c r="AI180" s="1075"/>
      <c r="AJ180" s="1076">
        <f>IF(($D$185=AJ178),AJ179)</f>
        <v>42.701900000000002</v>
      </c>
      <c r="AK180" s="1076" t="b">
        <f t="shared" ref="AK180:AU180" si="46">IF(($D$185=AK178),AK179)</f>
        <v>0</v>
      </c>
      <c r="AL180" s="1076" t="b">
        <f t="shared" si="46"/>
        <v>0</v>
      </c>
      <c r="AM180" s="1076" t="b">
        <f t="shared" si="46"/>
        <v>0</v>
      </c>
      <c r="AN180" s="1076" t="b">
        <f t="shared" si="46"/>
        <v>0</v>
      </c>
      <c r="AO180" s="1076" t="b">
        <f t="shared" si="46"/>
        <v>0</v>
      </c>
      <c r="AP180" s="1076" t="b">
        <f t="shared" si="46"/>
        <v>0</v>
      </c>
      <c r="AQ180" s="1076" t="b">
        <f t="shared" si="46"/>
        <v>0</v>
      </c>
      <c r="AR180" s="1076" t="b">
        <f t="shared" si="46"/>
        <v>0</v>
      </c>
      <c r="AS180" s="1076" t="b">
        <f t="shared" si="46"/>
        <v>0</v>
      </c>
      <c r="AT180" s="1076" t="b">
        <f t="shared" si="46"/>
        <v>0</v>
      </c>
      <c r="AU180" s="1076" t="b">
        <f t="shared" si="46"/>
        <v>0</v>
      </c>
      <c r="AV180" s="187"/>
      <c r="AW180" s="360"/>
      <c r="AX180" s="187"/>
      <c r="AY180" s="1074"/>
    </row>
    <row r="181" spans="2:94" ht="71.25" customHeight="1" thickBot="1" x14ac:dyDescent="0.25">
      <c r="B181" s="492" t="s">
        <v>122</v>
      </c>
      <c r="C181" s="546"/>
      <c r="D181" s="547"/>
      <c r="E181" s="495"/>
      <c r="F181" s="495"/>
      <c r="G181" s="495"/>
      <c r="H181" s="496"/>
      <c r="I181" s="496"/>
      <c r="J181" s="496"/>
      <c r="K181" s="496"/>
      <c r="L181" s="496"/>
      <c r="M181" s="496"/>
      <c r="N181" s="496"/>
      <c r="O181" s="496"/>
      <c r="P181" s="496"/>
      <c r="Q181" s="496"/>
      <c r="R181" s="496"/>
      <c r="S181" s="496" t="s">
        <v>74</v>
      </c>
      <c r="T181" s="497">
        <f>SUM(V185:V192)/B182</f>
        <v>147.5605650655406</v>
      </c>
      <c r="U181" s="498"/>
      <c r="V181" s="446"/>
      <c r="W181" s="446"/>
      <c r="X181" s="446"/>
      <c r="Y181" s="446"/>
      <c r="Z181" s="446"/>
      <c r="AA181" s="446"/>
      <c r="AI181" s="1075"/>
      <c r="AV181" s="1067" t="s">
        <v>319</v>
      </c>
      <c r="AW181" s="187"/>
      <c r="AX181" s="1064"/>
      <c r="AY181" s="1077">
        <v>2000</v>
      </c>
    </row>
    <row r="182" spans="2:94" ht="47.25" customHeight="1" thickBot="1" x14ac:dyDescent="0.3">
      <c r="B182" s="22">
        <v>1</v>
      </c>
      <c r="C182" s="501"/>
      <c r="D182" s="502" t="s">
        <v>47</v>
      </c>
      <c r="E182" s="503"/>
      <c r="F182" s="548"/>
      <c r="G182" s="548"/>
      <c r="H182" s="548"/>
      <c r="I182" s="548"/>
      <c r="J182" s="548"/>
      <c r="K182" s="548"/>
      <c r="L182" s="548"/>
      <c r="M182" s="548"/>
      <c r="N182" s="548"/>
      <c r="O182" s="548"/>
      <c r="P182" s="548"/>
      <c r="Q182" s="548"/>
      <c r="R182" s="548"/>
      <c r="S182" s="548"/>
      <c r="T182" s="548"/>
      <c r="U182" s="465"/>
      <c r="V182" s="503"/>
      <c r="W182" s="503"/>
      <c r="X182" s="503"/>
      <c r="Y182" s="503"/>
      <c r="Z182" s="503"/>
      <c r="AA182" s="503"/>
      <c r="AI182" s="1078"/>
      <c r="AJ182" s="528"/>
      <c r="AK182" s="528"/>
      <c r="AL182" s="528"/>
      <c r="AM182" s="528"/>
      <c r="AN182" s="528"/>
      <c r="AO182" s="528"/>
      <c r="AP182" s="528"/>
      <c r="AQ182" s="528"/>
      <c r="AR182" s="528"/>
      <c r="AS182" s="528"/>
      <c r="AT182" s="528"/>
      <c r="AU182" s="528"/>
      <c r="AV182" s="1079" t="s">
        <v>320</v>
      </c>
      <c r="AW182" s="1080"/>
      <c r="AX182" s="1081"/>
      <c r="AY182" s="1082">
        <f>+AY181/SIN((AV179)*3.14159265358979/180)</f>
        <v>2949.0519998838267</v>
      </c>
      <c r="BA182" s="1140" t="s">
        <v>46</v>
      </c>
      <c r="BB182" s="1141"/>
    </row>
    <row r="183" spans="2:94" ht="47.25" hidden="1" customHeight="1" thickBot="1" x14ac:dyDescent="0.25">
      <c r="B183" s="549"/>
      <c r="C183" s="483"/>
      <c r="D183" s="550" t="s">
        <v>13</v>
      </c>
      <c r="H183" s="551" t="s">
        <v>4</v>
      </c>
      <c r="I183" s="551" t="s">
        <v>1</v>
      </c>
      <c r="J183" s="437" t="s">
        <v>0</v>
      </c>
      <c r="K183" s="437" t="s">
        <v>2</v>
      </c>
      <c r="L183" s="437" t="s">
        <v>3</v>
      </c>
      <c r="M183" s="437" t="s">
        <v>8</v>
      </c>
      <c r="N183" s="437" t="s">
        <v>5</v>
      </c>
      <c r="O183" s="437" t="s">
        <v>6</v>
      </c>
      <c r="P183" s="437" t="s">
        <v>7</v>
      </c>
      <c r="Q183" s="437" t="s">
        <v>9</v>
      </c>
      <c r="R183" s="552" t="s">
        <v>10</v>
      </c>
      <c r="S183" s="437" t="s">
        <v>11</v>
      </c>
      <c r="T183" s="553" t="s">
        <v>12</v>
      </c>
      <c r="U183" s="505"/>
      <c r="V183" s="1022" t="s">
        <v>283</v>
      </c>
      <c r="W183" s="506"/>
      <c r="X183" s="506"/>
      <c r="Y183" s="506"/>
      <c r="Z183" s="506"/>
      <c r="AA183" s="506"/>
      <c r="AF183" s="1012" t="s">
        <v>285</v>
      </c>
      <c r="AP183" s="901" t="s">
        <v>279</v>
      </c>
      <c r="AY183" s="1068">
        <v>2570</v>
      </c>
      <c r="BA183" s="554"/>
      <c r="BB183" s="555"/>
    </row>
    <row r="184" spans="2:94" ht="47.25" customHeight="1" thickBot="1" x14ac:dyDescent="0.25">
      <c r="B184" s="509"/>
      <c r="C184" s="510"/>
      <c r="D184" s="1056" t="s">
        <v>20</v>
      </c>
      <c r="E184" s="511"/>
      <c r="F184" s="512" t="s">
        <v>43</v>
      </c>
      <c r="G184" s="513"/>
      <c r="H184" s="556"/>
      <c r="I184" s="557"/>
      <c r="J184" s="514"/>
      <c r="K184" s="514"/>
      <c r="L184" s="514"/>
      <c r="M184" s="514"/>
      <c r="N184" s="514"/>
      <c r="O184" s="514"/>
      <c r="P184" s="514"/>
      <c r="Q184" s="514"/>
      <c r="R184" s="558"/>
      <c r="S184" s="514"/>
      <c r="T184" s="515"/>
      <c r="U184" s="516"/>
      <c r="V184" s="517"/>
      <c r="W184" s="517"/>
      <c r="X184" s="517"/>
      <c r="Y184" s="517"/>
      <c r="Z184" s="517"/>
      <c r="AA184" s="517"/>
      <c r="AB184" s="1057"/>
      <c r="AC184" s="521"/>
      <c r="AD184" s="521"/>
      <c r="AE184" s="521"/>
      <c r="AF184" s="520" t="s">
        <v>36</v>
      </c>
      <c r="AG184" s="520" t="s">
        <v>29</v>
      </c>
      <c r="AH184" s="520"/>
      <c r="AI184" s="559" t="s">
        <v>54</v>
      </c>
      <c r="AJ184" s="521" t="s">
        <v>30</v>
      </c>
      <c r="AK184" s="560" t="s">
        <v>31</v>
      </c>
      <c r="AL184" s="559" t="s">
        <v>55</v>
      </c>
      <c r="AM184" s="520" t="s">
        <v>32</v>
      </c>
      <c r="AN184" s="560" t="s">
        <v>33</v>
      </c>
      <c r="AO184" s="251"/>
      <c r="AP184" s="251" t="s">
        <v>34</v>
      </c>
      <c r="AQ184" s="520"/>
      <c r="AR184" s="520" t="s">
        <v>35</v>
      </c>
      <c r="AS184" s="520" t="s">
        <v>37</v>
      </c>
      <c r="AT184" s="520"/>
      <c r="AU184" s="520" t="s">
        <v>38</v>
      </c>
      <c r="AV184" s="522" t="s">
        <v>39</v>
      </c>
      <c r="AW184" s="522" t="s">
        <v>40</v>
      </c>
      <c r="AX184" s="523" t="s">
        <v>21</v>
      </c>
      <c r="AY184" s="523" t="s">
        <v>22</v>
      </c>
      <c r="AZ184" s="523"/>
      <c r="BA184" s="524" t="s">
        <v>21</v>
      </c>
      <c r="BB184" s="524" t="s">
        <v>22</v>
      </c>
      <c r="BR184" s="109"/>
      <c r="BT184" s="109"/>
      <c r="BV184" s="109"/>
    </row>
    <row r="185" spans="2:94" ht="19" thickBot="1" x14ac:dyDescent="0.25">
      <c r="B185" s="525">
        <v>1</v>
      </c>
      <c r="C185" s="526">
        <f>+D185+AH175</f>
        <v>0.5</v>
      </c>
      <c r="D185" s="20">
        <v>0.5</v>
      </c>
      <c r="E185" s="1058" t="s">
        <v>280</v>
      </c>
      <c r="F185" s="561">
        <f>+G185</f>
        <v>0.5</v>
      </c>
      <c r="G185" s="527">
        <f>+D185</f>
        <v>0.5</v>
      </c>
      <c r="H185" s="562">
        <v>190.76</v>
      </c>
      <c r="I185" s="563">
        <v>79.651040199999997</v>
      </c>
      <c r="J185" s="528">
        <f>+I185-C185</f>
        <v>79.151040199999997</v>
      </c>
      <c r="K185" s="528">
        <f t="shared" ref="K185:K192" si="47">+J185/2</f>
        <v>39.575520099999999</v>
      </c>
      <c r="L185" s="528">
        <f t="shared" ref="L185:L192" si="48">SIN(K185*3.14159265358979/180)</f>
        <v>0.63709472605463091</v>
      </c>
      <c r="M185" s="528">
        <f t="shared" ref="M185:M192" si="49">+L185*H185</f>
        <v>121.53218994218139</v>
      </c>
      <c r="N185" s="528">
        <f t="shared" ref="N185:N192" si="50">+M185*2</f>
        <v>243.06437988436278</v>
      </c>
      <c r="O185" s="528">
        <f>+C185/2</f>
        <v>0.25</v>
      </c>
      <c r="P185" s="528">
        <f t="shared" ref="P185:P192" si="51">SIN(O185*3.14159265358979/180)</f>
        <v>4.3633092847465667E-3</v>
      </c>
      <c r="Q185" s="528">
        <f t="shared" ref="Q185:Q192" si="52">+P185*N185</f>
        <v>1.0605650655406067</v>
      </c>
      <c r="R185" s="564">
        <v>146.5</v>
      </c>
      <c r="S185" s="528">
        <f>+R185+Q185</f>
        <v>147.5605650655406</v>
      </c>
      <c r="T185" s="529">
        <f t="shared" ref="T185:T192" si="53">+S185</f>
        <v>147.5605650655406</v>
      </c>
      <c r="V185" s="530">
        <f t="shared" ref="V185:V192" si="54">IF(B185&lt;($B$182+1),T185,0)</f>
        <v>147.5605650655406</v>
      </c>
      <c r="W185" s="530"/>
      <c r="X185" s="530"/>
      <c r="Y185" s="530"/>
      <c r="Z185" s="530"/>
      <c r="AA185" s="530"/>
      <c r="AB185" s="527" t="str">
        <f>IF(AY185&lt;0,"pin in groundstacking hole"," ")</f>
        <v xml:space="preserve"> </v>
      </c>
      <c r="AC185" s="565"/>
      <c r="AD185" s="565"/>
      <c r="AE185" s="565"/>
      <c r="AF185" s="1023">
        <f>SUM(V185:V192)/($B$182)</f>
        <v>147.5605650655406</v>
      </c>
      <c r="AG185" s="489">
        <f>C185</f>
        <v>0.5</v>
      </c>
      <c r="AH185" s="489"/>
      <c r="AI185" s="566">
        <f>69.3447148-AG185</f>
        <v>68.844714800000006</v>
      </c>
      <c r="AJ185" s="531">
        <f t="shared" ref="AJ185:AJ192" si="55">SIN(AI185*3.14159265358979/180)</f>
        <v>0.93260573649025791</v>
      </c>
      <c r="AK185" s="567">
        <f>+AJ185*192.42</f>
        <v>179.4519958154554</v>
      </c>
      <c r="AL185" s="566">
        <f>50.1744799+AG185</f>
        <v>50.674479900000001</v>
      </c>
      <c r="AM185" s="532">
        <f>SIN(AL185*3.14159265358979/180)</f>
        <v>0.77355801894573117</v>
      </c>
      <c r="AN185" s="567">
        <f>+AM185*190.76</f>
        <v>147.56392769408768</v>
      </c>
      <c r="AO185" s="568"/>
      <c r="AP185" s="1018">
        <f>$C$11*B182</f>
        <v>25.5</v>
      </c>
      <c r="AQ185" s="533"/>
      <c r="AR185" s="533">
        <f>+AN185+AK185</f>
        <v>327.01592350954309</v>
      </c>
      <c r="AS185" s="534">
        <f t="shared" ref="AS185:AS192" si="56">+V185-AN185</f>
        <v>-3.3626285470802486E-3</v>
      </c>
      <c r="AT185" s="534"/>
      <c r="AU185" s="534">
        <f t="shared" ref="AU185:AU192" si="57">+AF185-AS185</f>
        <v>147.56392769408768</v>
      </c>
      <c r="AV185" s="535">
        <f>+((AR185-AU185)/AR185)*AP185</f>
        <v>13.993281563124167</v>
      </c>
      <c r="AW185" s="535">
        <f>+(AU185/AR185)*AP185</f>
        <v>11.506718436875831</v>
      </c>
      <c r="AX185" s="569">
        <f t="shared" ref="AX185:AX192" si="58">2*$D$13/AV185</f>
        <v>828.96924125138241</v>
      </c>
      <c r="AY185" s="1084">
        <f>AY183/AX179</f>
        <v>151.47089874838377</v>
      </c>
      <c r="AZ185" s="569"/>
      <c r="BA185" s="536">
        <f>ABS(AX185)</f>
        <v>828.96924125138241</v>
      </c>
      <c r="BB185" s="536">
        <f>ABS(AY185)</f>
        <v>151.47089874838377</v>
      </c>
      <c r="BC185" s="528"/>
      <c r="BR185" s="109"/>
      <c r="BV185" s="109"/>
    </row>
    <row r="186" spans="2:94" ht="21.75" customHeight="1" thickBot="1" x14ac:dyDescent="0.25">
      <c r="B186" s="570">
        <v>2</v>
      </c>
      <c r="C186" s="526"/>
      <c r="D186" s="21">
        <v>0</v>
      </c>
      <c r="E186" s="537" t="s">
        <v>127</v>
      </c>
      <c r="F186" s="561" t="e">
        <f t="shared" ref="F186:F192" si="59">+G186</f>
        <v>#DIV/0!</v>
      </c>
      <c r="G186" s="538" t="e">
        <f t="shared" ref="G186:G192" si="60">+D186+BC186</f>
        <v>#DIV/0!</v>
      </c>
      <c r="H186" s="571">
        <v>190.76</v>
      </c>
      <c r="I186" s="572">
        <v>79.651040199999997</v>
      </c>
      <c r="J186" s="528">
        <f t="shared" ref="J186:J192" si="61">+I186-D186</f>
        <v>79.651040199999997</v>
      </c>
      <c r="K186" s="528">
        <f t="shared" si="47"/>
        <v>39.825520099999999</v>
      </c>
      <c r="L186" s="528">
        <f t="shared" si="48"/>
        <v>0.64045183696587837</v>
      </c>
      <c r="M186" s="528">
        <f t="shared" si="49"/>
        <v>122.17259241961095</v>
      </c>
      <c r="N186" s="528">
        <f t="shared" si="50"/>
        <v>244.3451848392219</v>
      </c>
      <c r="O186" s="528">
        <f>+C185+(D186/2)</f>
        <v>0.5</v>
      </c>
      <c r="P186" s="528">
        <f t="shared" si="51"/>
        <v>8.726535498373926E-3</v>
      </c>
      <c r="Q186" s="528">
        <f t="shared" si="52"/>
        <v>2.1322869293562086</v>
      </c>
      <c r="R186" s="564">
        <f t="shared" ref="R186:R192" si="62">+T185</f>
        <v>147.5605650655406</v>
      </c>
      <c r="S186" s="528">
        <f>+R186+Q186</f>
        <v>149.69285199489681</v>
      </c>
      <c r="T186" s="529">
        <f t="shared" si="53"/>
        <v>149.69285199489681</v>
      </c>
      <c r="V186" s="530">
        <f t="shared" si="54"/>
        <v>0</v>
      </c>
      <c r="W186" s="530"/>
      <c r="X186" s="530"/>
      <c r="Y186" s="530"/>
      <c r="Z186" s="530"/>
      <c r="AA186" s="530"/>
      <c r="AB186" s="538" t="e">
        <f t="shared" ref="AB186:AB192" si="63">IF(AY186&lt;0,"pin in groundstacking hole"," ")</f>
        <v>#DIV/0!</v>
      </c>
      <c r="AC186" s="565"/>
      <c r="AD186" s="565"/>
      <c r="AE186" s="565"/>
      <c r="AF186" s="1023" t="e">
        <f>SUM(V186:V192)/($B$182-B185)</f>
        <v>#DIV/0!</v>
      </c>
      <c r="AG186" s="489">
        <f>SUM(D186)+$C$185</f>
        <v>0.5</v>
      </c>
      <c r="AH186" s="489"/>
      <c r="AI186" s="566">
        <f t="shared" ref="AI186:AI192" si="64">69.3447148-AG186</f>
        <v>68.844714800000006</v>
      </c>
      <c r="AJ186" s="539">
        <f t="shared" si="55"/>
        <v>0.93260573649025791</v>
      </c>
      <c r="AK186" s="567">
        <f t="shared" ref="AK186:AK192" si="65">+AJ186*192.42</f>
        <v>179.4519958154554</v>
      </c>
      <c r="AL186" s="566">
        <f t="shared" ref="AL186:AL192" si="66">50.1744799+AG186</f>
        <v>50.674479900000001</v>
      </c>
      <c r="AM186" s="540">
        <f t="shared" ref="AM186:AM192" si="67">SIN(AL186*3.14159265358979/180)</f>
        <v>0.77355801894573117</v>
      </c>
      <c r="AN186" s="567">
        <f t="shared" ref="AN186:AN192" si="68">+AM186*190.76</f>
        <v>147.56392769408768</v>
      </c>
      <c r="AO186" s="573"/>
      <c r="AP186" s="1018">
        <f>$C$11*($B$182-B185)</f>
        <v>0</v>
      </c>
      <c r="AQ186" s="541"/>
      <c r="AR186" s="541">
        <f t="shared" ref="AR186:AR192" si="69">+AN186+AK186</f>
        <v>327.01592350954309</v>
      </c>
      <c r="AS186" s="534">
        <f t="shared" si="56"/>
        <v>-147.56392769408768</v>
      </c>
      <c r="AT186" s="534"/>
      <c r="AU186" s="534" t="e">
        <f t="shared" si="57"/>
        <v>#DIV/0!</v>
      </c>
      <c r="AV186" s="535" t="e">
        <f t="shared" ref="AV186:AV192" si="70">+((AR186-AU186)/AR186)*AP186</f>
        <v>#DIV/0!</v>
      </c>
      <c r="AW186" s="535" t="e">
        <f t="shared" ref="AW186:AW192" si="71">+(AU186/AR186)*AP186</f>
        <v>#DIV/0!</v>
      </c>
      <c r="AX186" s="574" t="e">
        <f t="shared" si="58"/>
        <v>#DIV/0!</v>
      </c>
      <c r="AY186" s="574" t="e">
        <f t="shared" ref="AY186:AY192" si="72">$F$13/AW186</f>
        <v>#DIV/0!</v>
      </c>
      <c r="AZ186" s="574"/>
      <c r="BA186" s="542" t="e">
        <f t="shared" ref="BA186:BB192" si="73">ABS(AX186)</f>
        <v>#DIV/0!</v>
      </c>
      <c r="BB186" s="542" t="e">
        <f t="shared" si="73"/>
        <v>#DIV/0!</v>
      </c>
      <c r="BC186" s="437" t="e">
        <f t="shared" ref="BC186:BC192" si="74">IF(AY186&lt;0,0.3,0)</f>
        <v>#DIV/0!</v>
      </c>
      <c r="BR186" s="109"/>
      <c r="BS186" s="273"/>
      <c r="BT186" s="273"/>
      <c r="BU186" s="273"/>
      <c r="BV186" s="273"/>
      <c r="BW186" s="273"/>
      <c r="BX186" s="273"/>
      <c r="BY186" s="273"/>
      <c r="BZ186" s="273"/>
      <c r="CA186" s="273"/>
      <c r="CB186" s="273"/>
      <c r="CC186" s="273"/>
      <c r="CD186" s="273"/>
      <c r="CE186" s="273"/>
      <c r="CF186" s="273"/>
      <c r="CG186" s="273"/>
      <c r="CH186" s="273"/>
      <c r="CI186" s="273"/>
      <c r="CJ186" s="273"/>
      <c r="CK186" s="273"/>
      <c r="CL186" s="273"/>
      <c r="CM186" s="273"/>
      <c r="CN186" s="273"/>
      <c r="CO186" s="273"/>
      <c r="CP186" s="273"/>
    </row>
    <row r="187" spans="2:94" ht="21.75" customHeight="1" thickBot="1" x14ac:dyDescent="0.25">
      <c r="B187" s="570">
        <v>3</v>
      </c>
      <c r="C187" s="526"/>
      <c r="D187" s="21">
        <v>0</v>
      </c>
      <c r="E187" s="537" t="s">
        <v>48</v>
      </c>
      <c r="F187" s="561">
        <f t="shared" si="59"/>
        <v>0.3</v>
      </c>
      <c r="G187" s="538">
        <f t="shared" si="60"/>
        <v>0.3</v>
      </c>
      <c r="H187" s="571">
        <v>190.76</v>
      </c>
      <c r="I187" s="572">
        <v>79.651040199999997</v>
      </c>
      <c r="J187" s="528">
        <f t="shared" si="61"/>
        <v>79.651040199999997</v>
      </c>
      <c r="K187" s="528">
        <f t="shared" si="47"/>
        <v>39.825520099999999</v>
      </c>
      <c r="L187" s="528">
        <f t="shared" si="48"/>
        <v>0.64045183696587837</v>
      </c>
      <c r="M187" s="528">
        <f t="shared" si="49"/>
        <v>122.17259241961095</v>
      </c>
      <c r="N187" s="528">
        <f t="shared" si="50"/>
        <v>244.3451848392219</v>
      </c>
      <c r="O187" s="528">
        <f>+C185+D186+(D187/2)</f>
        <v>0.5</v>
      </c>
      <c r="P187" s="528">
        <f t="shared" si="51"/>
        <v>8.726535498373926E-3</v>
      </c>
      <c r="Q187" s="528">
        <f t="shared" si="52"/>
        <v>2.1322869293562086</v>
      </c>
      <c r="R187" s="564">
        <f t="shared" si="62"/>
        <v>149.69285199489681</v>
      </c>
      <c r="S187" s="528">
        <f t="shared" ref="S187:S192" si="75">+S186+Q187</f>
        <v>151.82513892425303</v>
      </c>
      <c r="T187" s="529">
        <f t="shared" si="53"/>
        <v>151.82513892425303</v>
      </c>
      <c r="V187" s="530">
        <f t="shared" si="54"/>
        <v>0</v>
      </c>
      <c r="W187" s="530"/>
      <c r="X187" s="530"/>
      <c r="Y187" s="530"/>
      <c r="Z187" s="530"/>
      <c r="AA187" s="530"/>
      <c r="AB187" s="538" t="str">
        <f t="shared" si="63"/>
        <v>pin in groundstacking hole</v>
      </c>
      <c r="AC187" s="565"/>
      <c r="AD187" s="565"/>
      <c r="AE187" s="565"/>
      <c r="AF187" s="1023">
        <f t="shared" ref="AF187:AF192" si="76">SUM(V187:V193)/($B$182-B186)</f>
        <v>0</v>
      </c>
      <c r="AG187" s="489">
        <f>SUM(D186:D187)+$C$185</f>
        <v>0.5</v>
      </c>
      <c r="AH187" s="489"/>
      <c r="AI187" s="566">
        <f t="shared" si="64"/>
        <v>68.844714800000006</v>
      </c>
      <c r="AJ187" s="539">
        <f t="shared" si="55"/>
        <v>0.93260573649025791</v>
      </c>
      <c r="AK187" s="567">
        <f t="shared" si="65"/>
        <v>179.4519958154554</v>
      </c>
      <c r="AL187" s="566">
        <f t="shared" si="66"/>
        <v>50.674479900000001</v>
      </c>
      <c r="AM187" s="540">
        <f t="shared" si="67"/>
        <v>0.77355801894573117</v>
      </c>
      <c r="AN187" s="567">
        <f t="shared" si="68"/>
        <v>147.56392769408768</v>
      </c>
      <c r="AO187" s="573"/>
      <c r="AP187" s="1018">
        <f t="shared" ref="AP187:AP192" si="77">$C$11*($B$182-B186)</f>
        <v>-25.5</v>
      </c>
      <c r="AQ187" s="541"/>
      <c r="AR187" s="541">
        <f t="shared" si="69"/>
        <v>327.01592350954309</v>
      </c>
      <c r="AS187" s="534">
        <f t="shared" si="56"/>
        <v>-147.56392769408768</v>
      </c>
      <c r="AT187" s="534"/>
      <c r="AU187" s="534">
        <f t="shared" si="57"/>
        <v>147.56392769408768</v>
      </c>
      <c r="AV187" s="535">
        <f t="shared" si="70"/>
        <v>-13.993281563124167</v>
      </c>
      <c r="AW187" s="535">
        <f t="shared" si="71"/>
        <v>-11.506718436875831</v>
      </c>
      <c r="AX187" s="574">
        <f t="shared" si="58"/>
        <v>-828.96924125138241</v>
      </c>
      <c r="AY187" s="574">
        <f t="shared" si="72"/>
        <v>-869.0575036539334</v>
      </c>
      <c r="AZ187" s="574"/>
      <c r="BA187" s="542">
        <f t="shared" si="73"/>
        <v>828.96924125138241</v>
      </c>
      <c r="BB187" s="542">
        <f t="shared" si="73"/>
        <v>869.0575036539334</v>
      </c>
      <c r="BC187" s="437">
        <f t="shared" si="74"/>
        <v>0.3</v>
      </c>
      <c r="BR187" s="109"/>
    </row>
    <row r="188" spans="2:94" ht="21.75" customHeight="1" thickBot="1" x14ac:dyDescent="0.25">
      <c r="B188" s="570">
        <v>4</v>
      </c>
      <c r="C188" s="526"/>
      <c r="D188" s="21">
        <v>0</v>
      </c>
      <c r="E188" s="537" t="s">
        <v>48</v>
      </c>
      <c r="F188" s="561">
        <f t="shared" si="59"/>
        <v>0.3</v>
      </c>
      <c r="G188" s="538">
        <f t="shared" si="60"/>
        <v>0.3</v>
      </c>
      <c r="H188" s="571">
        <v>190.76</v>
      </c>
      <c r="I188" s="572">
        <v>79.651040199999997</v>
      </c>
      <c r="J188" s="528">
        <f t="shared" si="61"/>
        <v>79.651040199999997</v>
      </c>
      <c r="K188" s="528">
        <f t="shared" si="47"/>
        <v>39.825520099999999</v>
      </c>
      <c r="L188" s="528">
        <f t="shared" si="48"/>
        <v>0.64045183696587837</v>
      </c>
      <c r="M188" s="528">
        <f t="shared" si="49"/>
        <v>122.17259241961095</v>
      </c>
      <c r="N188" s="528">
        <f t="shared" si="50"/>
        <v>244.3451848392219</v>
      </c>
      <c r="O188" s="528">
        <f>+C185+D186+D187+(D188/2)</f>
        <v>0.5</v>
      </c>
      <c r="P188" s="528">
        <f t="shared" si="51"/>
        <v>8.726535498373926E-3</v>
      </c>
      <c r="Q188" s="528">
        <f t="shared" si="52"/>
        <v>2.1322869293562086</v>
      </c>
      <c r="R188" s="564">
        <f t="shared" si="62"/>
        <v>151.82513892425303</v>
      </c>
      <c r="S188" s="528">
        <f t="shared" si="75"/>
        <v>153.95742585360924</v>
      </c>
      <c r="T188" s="529">
        <f t="shared" si="53"/>
        <v>153.95742585360924</v>
      </c>
      <c r="V188" s="530">
        <f t="shared" si="54"/>
        <v>0</v>
      </c>
      <c r="W188" s="530"/>
      <c r="X188" s="530"/>
      <c r="Y188" s="530"/>
      <c r="Z188" s="530"/>
      <c r="AA188" s="530"/>
      <c r="AB188" s="538" t="str">
        <f t="shared" si="63"/>
        <v>pin in groundstacking hole</v>
      </c>
      <c r="AC188" s="565"/>
      <c r="AD188" s="565"/>
      <c r="AE188" s="565"/>
      <c r="AF188" s="1023">
        <f t="shared" si="76"/>
        <v>0</v>
      </c>
      <c r="AG188" s="489">
        <f>SUM(D186:D188)+$C$185</f>
        <v>0.5</v>
      </c>
      <c r="AH188" s="489"/>
      <c r="AI188" s="566">
        <f t="shared" si="64"/>
        <v>68.844714800000006</v>
      </c>
      <c r="AJ188" s="539">
        <f t="shared" si="55"/>
        <v>0.93260573649025791</v>
      </c>
      <c r="AK188" s="567">
        <f t="shared" si="65"/>
        <v>179.4519958154554</v>
      </c>
      <c r="AL188" s="566">
        <f t="shared" si="66"/>
        <v>50.674479900000001</v>
      </c>
      <c r="AM188" s="540">
        <f t="shared" si="67"/>
        <v>0.77355801894573117</v>
      </c>
      <c r="AN188" s="567">
        <f t="shared" si="68"/>
        <v>147.56392769408768</v>
      </c>
      <c r="AO188" s="573"/>
      <c r="AP188" s="1018">
        <f t="shared" si="77"/>
        <v>-51</v>
      </c>
      <c r="AQ188" s="541"/>
      <c r="AR188" s="541">
        <f t="shared" si="69"/>
        <v>327.01592350954309</v>
      </c>
      <c r="AS188" s="534">
        <f t="shared" si="56"/>
        <v>-147.56392769408768</v>
      </c>
      <c r="AT188" s="534"/>
      <c r="AU188" s="534">
        <f t="shared" si="57"/>
        <v>147.56392769408768</v>
      </c>
      <c r="AV188" s="535">
        <f t="shared" si="70"/>
        <v>-27.986563126248335</v>
      </c>
      <c r="AW188" s="535">
        <f t="shared" si="71"/>
        <v>-23.013436873751662</v>
      </c>
      <c r="AX188" s="574">
        <f t="shared" si="58"/>
        <v>-414.48462062569121</v>
      </c>
      <c r="AY188" s="574">
        <f t="shared" si="72"/>
        <v>-434.5287518269667</v>
      </c>
      <c r="AZ188" s="574"/>
      <c r="BA188" s="542">
        <f t="shared" si="73"/>
        <v>414.48462062569121</v>
      </c>
      <c r="BB188" s="542">
        <f t="shared" si="73"/>
        <v>434.5287518269667</v>
      </c>
      <c r="BC188" s="437">
        <f t="shared" si="74"/>
        <v>0.3</v>
      </c>
      <c r="BR188" s="216"/>
      <c r="BS188" s="274"/>
      <c r="BT188" s="274"/>
      <c r="BU188" s="274"/>
      <c r="BV188" s="274"/>
      <c r="BW188" s="274"/>
      <c r="BX188" s="274"/>
      <c r="BY188" s="274"/>
      <c r="BZ188" s="274"/>
      <c r="CA188" s="274"/>
      <c r="CB188" s="274"/>
      <c r="CC188" s="274"/>
      <c r="CD188" s="274"/>
      <c r="CE188" s="274"/>
      <c r="CF188" s="274"/>
      <c r="CG188" s="274"/>
      <c r="CH188" s="274"/>
      <c r="CI188" s="274"/>
      <c r="CJ188" s="274"/>
      <c r="CK188" s="274"/>
      <c r="CL188" s="274"/>
      <c r="CM188" s="274"/>
      <c r="CN188" s="274"/>
      <c r="CO188" s="274"/>
      <c r="CP188" s="274"/>
    </row>
    <row r="189" spans="2:94" ht="21.75" customHeight="1" thickBot="1" x14ac:dyDescent="0.25">
      <c r="B189" s="570">
        <v>5</v>
      </c>
      <c r="C189" s="526"/>
      <c r="D189" s="21">
        <v>0</v>
      </c>
      <c r="E189" s="537" t="s">
        <v>48</v>
      </c>
      <c r="F189" s="561">
        <f t="shared" si="59"/>
        <v>0.3</v>
      </c>
      <c r="G189" s="538">
        <f t="shared" si="60"/>
        <v>0.3</v>
      </c>
      <c r="H189" s="571">
        <v>190.76</v>
      </c>
      <c r="I189" s="572">
        <v>79.651040199999997</v>
      </c>
      <c r="J189" s="528">
        <f t="shared" si="61"/>
        <v>79.651040199999997</v>
      </c>
      <c r="K189" s="528">
        <f t="shared" si="47"/>
        <v>39.825520099999999</v>
      </c>
      <c r="L189" s="528">
        <f t="shared" si="48"/>
        <v>0.64045183696587837</v>
      </c>
      <c r="M189" s="528">
        <f t="shared" si="49"/>
        <v>122.17259241961095</v>
      </c>
      <c r="N189" s="528">
        <f t="shared" si="50"/>
        <v>244.3451848392219</v>
      </c>
      <c r="O189" s="528">
        <f>+C185+D186+D187+D188+(D189/2)</f>
        <v>0.5</v>
      </c>
      <c r="P189" s="528">
        <f t="shared" si="51"/>
        <v>8.726535498373926E-3</v>
      </c>
      <c r="Q189" s="528">
        <f t="shared" si="52"/>
        <v>2.1322869293562086</v>
      </c>
      <c r="R189" s="564">
        <f t="shared" si="62"/>
        <v>153.95742585360924</v>
      </c>
      <c r="S189" s="528">
        <f t="shared" si="75"/>
        <v>156.08971278296545</v>
      </c>
      <c r="T189" s="529">
        <f t="shared" si="53"/>
        <v>156.08971278296545</v>
      </c>
      <c r="V189" s="530">
        <f t="shared" si="54"/>
        <v>0</v>
      </c>
      <c r="W189" s="530"/>
      <c r="X189" s="530"/>
      <c r="Y189" s="530"/>
      <c r="Z189" s="530"/>
      <c r="AA189" s="530"/>
      <c r="AB189" s="538" t="str">
        <f t="shared" si="63"/>
        <v>pin in groundstacking hole</v>
      </c>
      <c r="AC189" s="565"/>
      <c r="AD189" s="565"/>
      <c r="AE189" s="565"/>
      <c r="AF189" s="1023">
        <f t="shared" si="76"/>
        <v>0</v>
      </c>
      <c r="AG189" s="489">
        <f>SUM(D186:D189)+$C$185</f>
        <v>0.5</v>
      </c>
      <c r="AH189" s="489"/>
      <c r="AI189" s="566">
        <f t="shared" si="64"/>
        <v>68.844714800000006</v>
      </c>
      <c r="AJ189" s="539">
        <f t="shared" si="55"/>
        <v>0.93260573649025791</v>
      </c>
      <c r="AK189" s="567">
        <f t="shared" si="65"/>
        <v>179.4519958154554</v>
      </c>
      <c r="AL189" s="566">
        <f t="shared" si="66"/>
        <v>50.674479900000001</v>
      </c>
      <c r="AM189" s="540">
        <f t="shared" si="67"/>
        <v>0.77355801894573117</v>
      </c>
      <c r="AN189" s="567">
        <f t="shared" si="68"/>
        <v>147.56392769408768</v>
      </c>
      <c r="AO189" s="573"/>
      <c r="AP189" s="1018">
        <f t="shared" si="77"/>
        <v>-76.5</v>
      </c>
      <c r="AQ189" s="541"/>
      <c r="AR189" s="541">
        <f t="shared" si="69"/>
        <v>327.01592350954309</v>
      </c>
      <c r="AS189" s="534">
        <f t="shared" si="56"/>
        <v>-147.56392769408768</v>
      </c>
      <c r="AT189" s="534"/>
      <c r="AU189" s="534">
        <f t="shared" si="57"/>
        <v>147.56392769408768</v>
      </c>
      <c r="AV189" s="535">
        <f t="shared" si="70"/>
        <v>-41.979844689372506</v>
      </c>
      <c r="AW189" s="535">
        <f t="shared" si="71"/>
        <v>-34.520155310627494</v>
      </c>
      <c r="AX189" s="574">
        <f t="shared" si="58"/>
        <v>-276.32308041712747</v>
      </c>
      <c r="AY189" s="574">
        <f t="shared" si="72"/>
        <v>-289.68583455131113</v>
      </c>
      <c r="AZ189" s="574"/>
      <c r="BA189" s="542">
        <f t="shared" si="73"/>
        <v>276.32308041712747</v>
      </c>
      <c r="BB189" s="542">
        <f t="shared" si="73"/>
        <v>289.68583455131113</v>
      </c>
      <c r="BC189" s="437">
        <f t="shared" si="74"/>
        <v>0.3</v>
      </c>
      <c r="BR189" s="109"/>
      <c r="BS189" s="186"/>
      <c r="BT189" s="186"/>
      <c r="BU189" s="186"/>
      <c r="BV189" s="186"/>
      <c r="BW189" s="186"/>
      <c r="BX189" s="186"/>
      <c r="BY189" s="186"/>
      <c r="BZ189" s="186"/>
      <c r="CA189" s="186"/>
      <c r="CB189" s="186"/>
      <c r="CC189" s="186"/>
      <c r="CD189" s="186"/>
      <c r="CE189" s="186"/>
      <c r="CF189" s="186"/>
      <c r="CG189" s="186"/>
      <c r="CH189" s="186"/>
      <c r="CI189" s="186"/>
      <c r="CJ189" s="186"/>
      <c r="CK189" s="186"/>
      <c r="CL189" s="186"/>
      <c r="CM189" s="186"/>
      <c r="CN189" s="186"/>
      <c r="CO189" s="186"/>
      <c r="CP189" s="186"/>
    </row>
    <row r="190" spans="2:94" ht="21.75" customHeight="1" thickBot="1" x14ac:dyDescent="0.25">
      <c r="B190" s="570">
        <v>6</v>
      </c>
      <c r="C190" s="526"/>
      <c r="D190" s="21">
        <v>0</v>
      </c>
      <c r="E190" s="537" t="s">
        <v>48</v>
      </c>
      <c r="F190" s="561">
        <f t="shared" si="59"/>
        <v>0.3</v>
      </c>
      <c r="G190" s="538">
        <f t="shared" si="60"/>
        <v>0.3</v>
      </c>
      <c r="H190" s="571">
        <v>190.76</v>
      </c>
      <c r="I190" s="572">
        <v>79.651040199999997</v>
      </c>
      <c r="J190" s="528">
        <f t="shared" si="61"/>
        <v>79.651040199999997</v>
      </c>
      <c r="K190" s="528">
        <f t="shared" si="47"/>
        <v>39.825520099999999</v>
      </c>
      <c r="L190" s="528">
        <f t="shared" si="48"/>
        <v>0.64045183696587837</v>
      </c>
      <c r="M190" s="528">
        <f t="shared" si="49"/>
        <v>122.17259241961095</v>
      </c>
      <c r="N190" s="528">
        <f t="shared" si="50"/>
        <v>244.3451848392219</v>
      </c>
      <c r="O190" s="528">
        <f>+C185+D186+D187+D188+D189+(D190/2)</f>
        <v>0.5</v>
      </c>
      <c r="P190" s="528">
        <f t="shared" si="51"/>
        <v>8.726535498373926E-3</v>
      </c>
      <c r="Q190" s="528">
        <f t="shared" si="52"/>
        <v>2.1322869293562086</v>
      </c>
      <c r="R190" s="564">
        <f t="shared" si="62"/>
        <v>156.08971278296545</v>
      </c>
      <c r="S190" s="528">
        <f t="shared" si="75"/>
        <v>158.22199971232166</v>
      </c>
      <c r="T190" s="529">
        <f t="shared" si="53"/>
        <v>158.22199971232166</v>
      </c>
      <c r="V190" s="530">
        <f t="shared" si="54"/>
        <v>0</v>
      </c>
      <c r="W190" s="530"/>
      <c r="X190" s="530"/>
      <c r="Y190" s="530"/>
      <c r="Z190" s="530"/>
      <c r="AA190" s="530"/>
      <c r="AB190" s="538" t="str">
        <f t="shared" si="63"/>
        <v>pin in groundstacking hole</v>
      </c>
      <c r="AC190" s="565"/>
      <c r="AD190" s="565"/>
      <c r="AE190" s="565"/>
      <c r="AF190" s="1023">
        <f t="shared" si="76"/>
        <v>0</v>
      </c>
      <c r="AG190" s="489">
        <f>SUM(D186:D190)+$C$185</f>
        <v>0.5</v>
      </c>
      <c r="AH190" s="489"/>
      <c r="AI190" s="566">
        <f t="shared" si="64"/>
        <v>68.844714800000006</v>
      </c>
      <c r="AJ190" s="539">
        <f t="shared" si="55"/>
        <v>0.93260573649025791</v>
      </c>
      <c r="AK190" s="567">
        <f t="shared" si="65"/>
        <v>179.4519958154554</v>
      </c>
      <c r="AL190" s="566">
        <f t="shared" si="66"/>
        <v>50.674479900000001</v>
      </c>
      <c r="AM190" s="540">
        <f t="shared" si="67"/>
        <v>0.77355801894573117</v>
      </c>
      <c r="AN190" s="567">
        <f t="shared" si="68"/>
        <v>147.56392769408768</v>
      </c>
      <c r="AO190" s="573"/>
      <c r="AP190" s="1018">
        <f t="shared" si="77"/>
        <v>-102</v>
      </c>
      <c r="AQ190" s="541"/>
      <c r="AR190" s="541">
        <f t="shared" si="69"/>
        <v>327.01592350954309</v>
      </c>
      <c r="AS190" s="534">
        <f t="shared" si="56"/>
        <v>-147.56392769408768</v>
      </c>
      <c r="AT190" s="534"/>
      <c r="AU190" s="534">
        <f t="shared" si="57"/>
        <v>147.56392769408768</v>
      </c>
      <c r="AV190" s="535">
        <f t="shared" si="70"/>
        <v>-55.97312625249667</v>
      </c>
      <c r="AW190" s="535">
        <f t="shared" si="71"/>
        <v>-46.026873747503323</v>
      </c>
      <c r="AX190" s="574">
        <f t="shared" si="58"/>
        <v>-207.2423103128456</v>
      </c>
      <c r="AY190" s="574">
        <f t="shared" si="72"/>
        <v>-217.26437591348335</v>
      </c>
      <c r="AZ190" s="574"/>
      <c r="BA190" s="542">
        <f t="shared" si="73"/>
        <v>207.2423103128456</v>
      </c>
      <c r="BB190" s="542">
        <f t="shared" si="73"/>
        <v>217.26437591348335</v>
      </c>
      <c r="BC190" s="437">
        <f t="shared" si="74"/>
        <v>0.3</v>
      </c>
    </row>
    <row r="191" spans="2:94" ht="21.75" customHeight="1" thickBot="1" x14ac:dyDescent="0.25">
      <c r="B191" s="570">
        <v>7</v>
      </c>
      <c r="C191" s="526"/>
      <c r="D191" s="21">
        <v>0</v>
      </c>
      <c r="E191" s="537" t="s">
        <v>48</v>
      </c>
      <c r="F191" s="561">
        <f t="shared" si="59"/>
        <v>0.3</v>
      </c>
      <c r="G191" s="538">
        <f t="shared" si="60"/>
        <v>0.3</v>
      </c>
      <c r="H191" s="571">
        <v>190.76</v>
      </c>
      <c r="I191" s="572">
        <v>79.651040199999997</v>
      </c>
      <c r="J191" s="528">
        <f t="shared" si="61"/>
        <v>79.651040199999997</v>
      </c>
      <c r="K191" s="528">
        <f t="shared" si="47"/>
        <v>39.825520099999999</v>
      </c>
      <c r="L191" s="528">
        <f t="shared" si="48"/>
        <v>0.64045183696587837</v>
      </c>
      <c r="M191" s="528">
        <f t="shared" si="49"/>
        <v>122.17259241961095</v>
      </c>
      <c r="N191" s="528">
        <f t="shared" si="50"/>
        <v>244.3451848392219</v>
      </c>
      <c r="O191" s="528">
        <f>+C185+D186+D187+D188+D189+D190+(D191/2)</f>
        <v>0.5</v>
      </c>
      <c r="P191" s="528">
        <f t="shared" si="51"/>
        <v>8.726535498373926E-3</v>
      </c>
      <c r="Q191" s="528">
        <f t="shared" si="52"/>
        <v>2.1322869293562086</v>
      </c>
      <c r="R191" s="564">
        <f t="shared" si="62"/>
        <v>158.22199971232166</v>
      </c>
      <c r="S191" s="528">
        <f t="shared" si="75"/>
        <v>160.35428664167787</v>
      </c>
      <c r="T191" s="529">
        <f t="shared" si="53"/>
        <v>160.35428664167787</v>
      </c>
      <c r="V191" s="530">
        <f t="shared" si="54"/>
        <v>0</v>
      </c>
      <c r="W191" s="530"/>
      <c r="X191" s="530"/>
      <c r="Y191" s="530"/>
      <c r="Z191" s="530"/>
      <c r="AA191" s="530"/>
      <c r="AB191" s="538" t="str">
        <f t="shared" si="63"/>
        <v>pin in groundstacking hole</v>
      </c>
      <c r="AC191" s="565"/>
      <c r="AD191" s="565"/>
      <c r="AE191" s="565"/>
      <c r="AF191" s="1023">
        <f t="shared" si="76"/>
        <v>0</v>
      </c>
      <c r="AG191" s="489">
        <f>SUM(D186:D191)+$C$185</f>
        <v>0.5</v>
      </c>
      <c r="AH191" s="489"/>
      <c r="AI191" s="566">
        <f t="shared" si="64"/>
        <v>68.844714800000006</v>
      </c>
      <c r="AJ191" s="539">
        <f t="shared" si="55"/>
        <v>0.93260573649025791</v>
      </c>
      <c r="AK191" s="567">
        <f t="shared" si="65"/>
        <v>179.4519958154554</v>
      </c>
      <c r="AL191" s="566">
        <f t="shared" si="66"/>
        <v>50.674479900000001</v>
      </c>
      <c r="AM191" s="540">
        <f t="shared" si="67"/>
        <v>0.77355801894573117</v>
      </c>
      <c r="AN191" s="567">
        <f t="shared" si="68"/>
        <v>147.56392769408768</v>
      </c>
      <c r="AO191" s="573"/>
      <c r="AP191" s="1018">
        <f t="shared" si="77"/>
        <v>-127.5</v>
      </c>
      <c r="AQ191" s="541"/>
      <c r="AR191" s="541">
        <f t="shared" si="69"/>
        <v>327.01592350954309</v>
      </c>
      <c r="AS191" s="534">
        <f t="shared" si="56"/>
        <v>-147.56392769408768</v>
      </c>
      <c r="AT191" s="534"/>
      <c r="AU191" s="534">
        <f t="shared" si="57"/>
        <v>147.56392769408768</v>
      </c>
      <c r="AV191" s="535">
        <f t="shared" si="70"/>
        <v>-69.96640781562084</v>
      </c>
      <c r="AW191" s="535">
        <f t="shared" si="71"/>
        <v>-57.533592184379152</v>
      </c>
      <c r="AX191" s="574">
        <f t="shared" si="58"/>
        <v>-165.79384825027648</v>
      </c>
      <c r="AY191" s="574">
        <f t="shared" si="72"/>
        <v>-173.81150073078669</v>
      </c>
      <c r="AZ191" s="574"/>
      <c r="BA191" s="542">
        <f t="shared" si="73"/>
        <v>165.79384825027648</v>
      </c>
      <c r="BB191" s="542">
        <f t="shared" si="73"/>
        <v>173.81150073078669</v>
      </c>
      <c r="BC191" s="437">
        <f t="shared" si="74"/>
        <v>0.3</v>
      </c>
      <c r="BS191" s="217"/>
      <c r="BT191" s="217"/>
      <c r="BU191" s="217"/>
      <c r="BV191" s="217"/>
      <c r="BW191" s="217"/>
      <c r="BX191" s="217"/>
      <c r="BY191" s="109"/>
      <c r="BZ191" s="109"/>
      <c r="CA191" s="109"/>
      <c r="CB191" s="109"/>
      <c r="CC191" s="109"/>
      <c r="CD191" s="217"/>
      <c r="CE191" s="217"/>
      <c r="CF191" s="217"/>
      <c r="CG191" s="109"/>
      <c r="CH191" s="109"/>
      <c r="CI191" s="109"/>
      <c r="CJ191" s="109"/>
      <c r="CK191" s="109"/>
      <c r="CL191" s="109"/>
      <c r="CM191" s="109"/>
      <c r="CN191" s="109"/>
      <c r="CO191" s="109"/>
      <c r="CP191" s="109"/>
    </row>
    <row r="192" spans="2:94" ht="21.75" customHeight="1" thickBot="1" x14ac:dyDescent="0.25">
      <c r="B192" s="570">
        <v>8</v>
      </c>
      <c r="C192" s="526"/>
      <c r="D192" s="21">
        <v>0</v>
      </c>
      <c r="E192" s="537" t="s">
        <v>48</v>
      </c>
      <c r="F192" s="561">
        <f t="shared" si="59"/>
        <v>0.3</v>
      </c>
      <c r="G192" s="538">
        <f t="shared" si="60"/>
        <v>0.3</v>
      </c>
      <c r="H192" s="571">
        <v>190.76</v>
      </c>
      <c r="I192" s="572">
        <v>79.651040199999997</v>
      </c>
      <c r="J192" s="528">
        <f t="shared" si="61"/>
        <v>79.651040199999997</v>
      </c>
      <c r="K192" s="528">
        <f t="shared" si="47"/>
        <v>39.825520099999999</v>
      </c>
      <c r="L192" s="528">
        <f t="shared" si="48"/>
        <v>0.64045183696587837</v>
      </c>
      <c r="M192" s="528">
        <f t="shared" si="49"/>
        <v>122.17259241961095</v>
      </c>
      <c r="N192" s="528">
        <f t="shared" si="50"/>
        <v>244.3451848392219</v>
      </c>
      <c r="O192" s="528">
        <f>+C185+D186+D187+D188+D189+D190+D191+(D192/2)</f>
        <v>0.5</v>
      </c>
      <c r="P192" s="528">
        <f t="shared" si="51"/>
        <v>8.726535498373926E-3</v>
      </c>
      <c r="Q192" s="528">
        <f t="shared" si="52"/>
        <v>2.1322869293562086</v>
      </c>
      <c r="R192" s="564">
        <f t="shared" si="62"/>
        <v>160.35428664167787</v>
      </c>
      <c r="S192" s="528">
        <f t="shared" si="75"/>
        <v>162.48657357103409</v>
      </c>
      <c r="T192" s="529">
        <f t="shared" si="53"/>
        <v>162.48657357103409</v>
      </c>
      <c r="V192" s="530">
        <f t="shared" si="54"/>
        <v>0</v>
      </c>
      <c r="W192" s="530"/>
      <c r="X192" s="530"/>
      <c r="Y192" s="530"/>
      <c r="Z192" s="530"/>
      <c r="AA192" s="530"/>
      <c r="AB192" s="538" t="str">
        <f t="shared" si="63"/>
        <v>pin in groundstacking hole</v>
      </c>
      <c r="AC192" s="565"/>
      <c r="AD192" s="565"/>
      <c r="AE192" s="565"/>
      <c r="AF192" s="1023">
        <f t="shared" si="76"/>
        <v>0</v>
      </c>
      <c r="AG192" s="489">
        <f>SUM(D186:D192)+$C$185</f>
        <v>0.5</v>
      </c>
      <c r="AH192" s="489"/>
      <c r="AI192" s="566">
        <f t="shared" si="64"/>
        <v>68.844714800000006</v>
      </c>
      <c r="AJ192" s="539">
        <f t="shared" si="55"/>
        <v>0.93260573649025791</v>
      </c>
      <c r="AK192" s="567">
        <f t="shared" si="65"/>
        <v>179.4519958154554</v>
      </c>
      <c r="AL192" s="566">
        <f t="shared" si="66"/>
        <v>50.674479900000001</v>
      </c>
      <c r="AM192" s="540">
        <f t="shared" si="67"/>
        <v>0.77355801894573117</v>
      </c>
      <c r="AN192" s="567">
        <f t="shared" si="68"/>
        <v>147.56392769408768</v>
      </c>
      <c r="AO192" s="573"/>
      <c r="AP192" s="1018">
        <f t="shared" si="77"/>
        <v>-153</v>
      </c>
      <c r="AQ192" s="541"/>
      <c r="AR192" s="541">
        <f t="shared" si="69"/>
        <v>327.01592350954309</v>
      </c>
      <c r="AS192" s="534">
        <f t="shared" si="56"/>
        <v>-147.56392769408768</v>
      </c>
      <c r="AT192" s="534"/>
      <c r="AU192" s="534">
        <f t="shared" si="57"/>
        <v>147.56392769408768</v>
      </c>
      <c r="AV192" s="535">
        <f t="shared" si="70"/>
        <v>-83.959689378745011</v>
      </c>
      <c r="AW192" s="535">
        <f t="shared" si="71"/>
        <v>-69.040310621254989</v>
      </c>
      <c r="AX192" s="574">
        <f t="shared" si="58"/>
        <v>-138.16154020856374</v>
      </c>
      <c r="AY192" s="574">
        <f t="shared" si="72"/>
        <v>-144.84291727565557</v>
      </c>
      <c r="AZ192" s="574"/>
      <c r="BA192" s="542">
        <f t="shared" si="73"/>
        <v>138.16154020856374</v>
      </c>
      <c r="BB192" s="542">
        <f t="shared" si="73"/>
        <v>144.84291727565557</v>
      </c>
      <c r="BC192" s="437">
        <f t="shared" si="74"/>
        <v>0.3</v>
      </c>
      <c r="BS192" s="217"/>
      <c r="BT192" s="217"/>
      <c r="BU192" s="217"/>
      <c r="BV192" s="217"/>
      <c r="BW192" s="217"/>
      <c r="BX192" s="217"/>
      <c r="CC192" s="217"/>
      <c r="CD192" s="217"/>
      <c r="CE192" s="217"/>
      <c r="CF192" s="217"/>
      <c r="CK192" s="217"/>
      <c r="CL192" s="217"/>
      <c r="CM192" s="217"/>
      <c r="CN192" s="217"/>
      <c r="CO192" s="217"/>
      <c r="CP192" s="217"/>
    </row>
    <row r="195" spans="6:6" ht="20" x14ac:dyDescent="0.2">
      <c r="F195" s="1020" t="b">
        <f>OR(D185=0.5,D185=1,D185=2,D185=2.5,D185=3,D185=4,D185=5,D185=5.5,D185=6.5,D185=7.5,D185=9,D185=10)</f>
        <v>1</v>
      </c>
    </row>
  </sheetData>
  <sheetProtection algorithmName="SHA-512" hashValue="+RYv4hAWwUi5B1IHWeDIGOMqcVLeu/SQxZ62i1tnSLtfqNRtfcK3C4HGoiLV76HkCCy7k3aluUwXlZIX1/HZ6A==" saltValue="2vnkngqOK7FBKodDZMCguQ==" spinCount="100000" sheet="1" objects="1" scenarios="1" selectLockedCells="1"/>
  <protectedRanges>
    <protectedRange sqref="B138 B146 D185:D192 B182 D149:D174" name="Range1"/>
  </protectedRanges>
  <mergeCells count="17">
    <mergeCell ref="CJ162:CK162"/>
    <mergeCell ref="BX160:BZ160"/>
    <mergeCell ref="BS34:CC35"/>
    <mergeCell ref="CU34:DC35"/>
    <mergeCell ref="CS35:CT35"/>
    <mergeCell ref="CD35:CE35"/>
    <mergeCell ref="BS27:BT27"/>
    <mergeCell ref="CS28:DC29"/>
    <mergeCell ref="BS31:CC32"/>
    <mergeCell ref="DB32:DC32"/>
    <mergeCell ref="CQ29:CR29"/>
    <mergeCell ref="BS29:BT29"/>
    <mergeCell ref="BA146:BB146"/>
    <mergeCell ref="BA182:BB182"/>
    <mergeCell ref="CD32:CE32"/>
    <mergeCell ref="B135:B137"/>
    <mergeCell ref="BX162:BY162"/>
  </mergeCells>
  <conditionalFormatting sqref="B187:AE187 AG187:AO187 AQ187:BB187">
    <cfRule type="expression" dxfId="58" priority="139" stopIfTrue="1">
      <formula>$B$182&lt;3</formula>
    </cfRule>
  </conditionalFormatting>
  <conditionalFormatting sqref="B188:AE188 AG188:AO188 AQ188:BB188">
    <cfRule type="expression" dxfId="57" priority="138" stopIfTrue="1">
      <formula>$B$182&lt;4</formula>
    </cfRule>
  </conditionalFormatting>
  <conditionalFormatting sqref="B189:AE189 AG189:AO189 AQ189:BB189">
    <cfRule type="expression" dxfId="56" priority="137" stopIfTrue="1">
      <formula>$B$182&lt;5</formula>
    </cfRule>
  </conditionalFormatting>
  <conditionalFormatting sqref="B190:AE190 AG190:AO190 AQ190:BB190">
    <cfRule type="expression" dxfId="55" priority="136" stopIfTrue="1">
      <formula>$B$182&lt;6</formula>
    </cfRule>
  </conditionalFormatting>
  <conditionalFormatting sqref="B191:AE191 AG191:AO191 AQ191:BB191">
    <cfRule type="expression" dxfId="54" priority="135" stopIfTrue="1">
      <formula>$B$182&lt;7</formula>
    </cfRule>
  </conditionalFormatting>
  <conditionalFormatting sqref="B192:AE192 AG192:AO192 AQ192:BB192">
    <cfRule type="expression" dxfId="53" priority="84" stopIfTrue="1">
      <formula>$B$182&lt;8</formula>
    </cfRule>
  </conditionalFormatting>
  <conditionalFormatting sqref="B150:BB150">
    <cfRule type="expression" dxfId="52" priority="25">
      <formula>$B146&lt;2</formula>
    </cfRule>
  </conditionalFormatting>
  <conditionalFormatting sqref="B151:BB151">
    <cfRule type="expression" dxfId="51" priority="24">
      <formula>$B146&lt;3</formula>
    </cfRule>
  </conditionalFormatting>
  <conditionalFormatting sqref="B152:BB152">
    <cfRule type="expression" dxfId="50" priority="23">
      <formula>$B146&lt;4</formula>
    </cfRule>
  </conditionalFormatting>
  <conditionalFormatting sqref="B153:BB153">
    <cfRule type="expression" dxfId="49" priority="22">
      <formula>$B146&lt;5</formula>
    </cfRule>
  </conditionalFormatting>
  <conditionalFormatting sqref="B154:BB154">
    <cfRule type="expression" dxfId="48" priority="21">
      <formula>$B146&lt;6</formula>
    </cfRule>
  </conditionalFormatting>
  <conditionalFormatting sqref="B155:BB155">
    <cfRule type="expression" dxfId="47" priority="20">
      <formula>$B146&lt;7</formula>
    </cfRule>
  </conditionalFormatting>
  <conditionalFormatting sqref="B156:BB156">
    <cfRule type="expression" dxfId="46" priority="19">
      <formula>$B146&lt;8</formula>
    </cfRule>
  </conditionalFormatting>
  <conditionalFormatting sqref="B157:BB157">
    <cfRule type="expression" dxfId="45" priority="18">
      <formula>$B146&lt;9</formula>
    </cfRule>
  </conditionalFormatting>
  <conditionalFormatting sqref="B158:BB158">
    <cfRule type="expression" dxfId="44" priority="17">
      <formula>$B146&lt;10</formula>
    </cfRule>
  </conditionalFormatting>
  <conditionalFormatting sqref="B159:BB159">
    <cfRule type="expression" dxfId="43" priority="16">
      <formula>$B146&lt;11</formula>
    </cfRule>
  </conditionalFormatting>
  <conditionalFormatting sqref="B160:BB160">
    <cfRule type="expression" dxfId="42" priority="15">
      <formula>$B146&lt;12</formula>
    </cfRule>
  </conditionalFormatting>
  <conditionalFormatting sqref="B161:BB161">
    <cfRule type="expression" dxfId="41" priority="14">
      <formula>$B146&lt;13</formula>
    </cfRule>
  </conditionalFormatting>
  <conditionalFormatting sqref="B162:BB162">
    <cfRule type="expression" dxfId="40" priority="13">
      <formula>$B146&lt;14</formula>
    </cfRule>
  </conditionalFormatting>
  <conditionalFormatting sqref="B163:BB163">
    <cfRule type="expression" dxfId="39" priority="12">
      <formula>$B146&lt;15</formula>
    </cfRule>
  </conditionalFormatting>
  <conditionalFormatting sqref="B164:BB164">
    <cfRule type="expression" dxfId="38" priority="11">
      <formula>$B146&lt;16</formula>
    </cfRule>
  </conditionalFormatting>
  <conditionalFormatting sqref="B165:BB165">
    <cfRule type="expression" dxfId="37" priority="10">
      <formula>$B146&lt;17</formula>
    </cfRule>
  </conditionalFormatting>
  <conditionalFormatting sqref="B166:BB166">
    <cfRule type="expression" dxfId="36" priority="9">
      <formula>$B146&lt;18</formula>
    </cfRule>
  </conditionalFormatting>
  <conditionalFormatting sqref="B167:BB167">
    <cfRule type="expression" dxfId="35" priority="8">
      <formula>$B146&lt;19</formula>
    </cfRule>
  </conditionalFormatting>
  <conditionalFormatting sqref="B168:BB168">
    <cfRule type="expression" dxfId="34" priority="7">
      <formula>$B146&lt;20</formula>
    </cfRule>
  </conditionalFormatting>
  <conditionalFormatting sqref="B169:BB169">
    <cfRule type="expression" dxfId="33" priority="6">
      <formula>$B146&lt;21</formula>
    </cfRule>
  </conditionalFormatting>
  <conditionalFormatting sqref="B170:BB170">
    <cfRule type="expression" dxfId="32" priority="5">
      <formula>$B146&lt;22</formula>
    </cfRule>
  </conditionalFormatting>
  <conditionalFormatting sqref="B171:BB171">
    <cfRule type="expression" dxfId="31" priority="4">
      <formula>$B146&lt;23</formula>
    </cfRule>
  </conditionalFormatting>
  <conditionalFormatting sqref="B172:BB172">
    <cfRule type="expression" dxfId="30" priority="3">
      <formula>$B146&lt;24</formula>
    </cfRule>
  </conditionalFormatting>
  <conditionalFormatting sqref="B173:BB173">
    <cfRule type="expression" dxfId="29" priority="2">
      <formula>$B146&lt;25</formula>
    </cfRule>
  </conditionalFormatting>
  <conditionalFormatting sqref="B174:BB174">
    <cfRule type="expression" dxfId="28" priority="1">
      <formula>$B146&lt;26</formula>
    </cfRule>
  </conditionalFormatting>
  <conditionalFormatting sqref="B185:BB185">
    <cfRule type="expression" dxfId="27" priority="141" stopIfTrue="1">
      <formula>$B$146&lt;1</formula>
    </cfRule>
  </conditionalFormatting>
  <conditionalFormatting sqref="B186:BB186 AF187:AF192 AP187:AP192">
    <cfRule type="expression" dxfId="26" priority="140" stopIfTrue="1">
      <formula>$B$182&lt;2</formula>
    </cfRule>
  </conditionalFormatting>
  <conditionalFormatting sqref="D137">
    <cfRule type="cellIs" dxfId="25" priority="96" stopIfTrue="1" operator="equal">
      <formula>"USE EXBAR AR AT THE FRONT"</formula>
    </cfRule>
  </conditionalFormatting>
  <conditionalFormatting sqref="D138">
    <cfRule type="cellIs" dxfId="24" priority="95" stopIfTrue="1" operator="equal">
      <formula>"USE EXBAR AR AT THE BACK"</formula>
    </cfRule>
  </conditionalFormatting>
  <conditionalFormatting sqref="D149:D174">
    <cfRule type="cellIs" dxfId="23" priority="27" operator="notEqual">
      <formula>0</formula>
    </cfRule>
  </conditionalFormatting>
  <conditionalFormatting sqref="D185:D192">
    <cfRule type="cellIs" dxfId="22" priority="165" stopIfTrue="1" operator="notEqual">
      <formula>0</formula>
    </cfRule>
  </conditionalFormatting>
  <conditionalFormatting sqref="D135:G136">
    <cfRule type="cellIs" dxfId="21" priority="97" stopIfTrue="1" operator="equal">
      <formula>"change the angle of frame or of cabinets"</formula>
    </cfRule>
  </conditionalFormatting>
  <conditionalFormatting sqref="E137:G137">
    <cfRule type="cellIs" dxfId="20" priority="166" stopIfTrue="1" operator="equal">
      <formula>"USE EXBAR 12 AT THE FRONT"</formula>
    </cfRule>
  </conditionalFormatting>
  <conditionalFormatting sqref="E138:G138">
    <cfRule type="cellIs" dxfId="19" priority="167" stopIfTrue="1" operator="equal">
      <formula>"USE EXBAR 12 AT THE BACK"</formula>
    </cfRule>
  </conditionalFormatting>
  <conditionalFormatting sqref="U2 U5:U12 BD6:BE7 AF24:AF28 D28:F28 V66:AA68 U69:U91 AB69:AE91">
    <cfRule type="cellIs" dxfId="18" priority="172" stopIfTrue="1" operator="between">
      <formula>"OVERLOAD"</formula>
      <formula>"OVERLOAD"</formula>
    </cfRule>
  </conditionalFormatting>
  <conditionalFormatting sqref="BA149:BB174">
    <cfRule type="cellIs" dxfId="17" priority="26" operator="lessThan">
      <formula>10</formula>
    </cfRule>
  </conditionalFormatting>
  <conditionalFormatting sqref="BA185:BB192">
    <cfRule type="cellIs" dxfId="16" priority="164" operator="lessThan">
      <formula>10</formula>
    </cfRule>
  </conditionalFormatting>
  <conditionalFormatting sqref="BM111:BM147">
    <cfRule type="cellIs" dxfId="15" priority="105" stopIfTrue="1" operator="equal">
      <formula>FALSE</formula>
    </cfRule>
  </conditionalFormatting>
  <conditionalFormatting sqref="BP28">
    <cfRule type="cellIs" dxfId="14" priority="94" stopIfTrue="1" operator="equal">
      <formula>"negative force at the motor"</formula>
    </cfRule>
  </conditionalFormatting>
  <conditionalFormatting sqref="BP28:BP29">
    <cfRule type="cellIs" dxfId="13" priority="93" operator="equal">
      <formula>"""OK"""</formula>
    </cfRule>
  </conditionalFormatting>
  <conditionalFormatting sqref="BP29">
    <cfRule type="cellIs" dxfId="12" priority="101" stopIfTrue="1" operator="equal">
      <formula>"overload"</formula>
    </cfRule>
  </conditionalFormatting>
  <conditionalFormatting sqref="BP31">
    <cfRule type="cellIs" dxfId="11" priority="92" stopIfTrue="1" operator="equal">
      <formula>"negative force at the motor"</formula>
    </cfRule>
  </conditionalFormatting>
  <conditionalFormatting sqref="BP31:BP32">
    <cfRule type="cellIs" dxfId="10" priority="91" operator="equal">
      <formula>"""OK"""</formula>
    </cfRule>
  </conditionalFormatting>
  <conditionalFormatting sqref="BP34">
    <cfRule type="cellIs" dxfId="9" priority="90" stopIfTrue="1" operator="equal">
      <formula>"negative force at the motor"</formula>
    </cfRule>
  </conditionalFormatting>
  <conditionalFormatting sqref="BP34:BP35">
    <cfRule type="cellIs" dxfId="8" priority="89" operator="equal">
      <formula>"""OK"""</formula>
    </cfRule>
  </conditionalFormatting>
  <conditionalFormatting sqref="BP58 BP63 BP104 BP32 BP35">
    <cfRule type="cellIs" dxfId="7" priority="99" stopIfTrue="1" operator="equal">
      <formula>"overload"</formula>
    </cfRule>
  </conditionalFormatting>
  <conditionalFormatting sqref="BP58 BP104 BP63">
    <cfRule type="cellIs" dxfId="6" priority="98" operator="equal">
      <formula>"""OK"""</formula>
    </cfRule>
  </conditionalFormatting>
  <conditionalFormatting sqref="BQ57:BQ58 BP58 BQ103 BP104:BQ104">
    <cfRule type="expression" dxfId="5" priority="86">
      <formula>$B$138&lt;&gt;0</formula>
    </cfRule>
  </conditionalFormatting>
  <conditionalFormatting sqref="BS103:CI103">
    <cfRule type="expression" dxfId="4" priority="83">
      <formula>$B$138=0</formula>
    </cfRule>
  </conditionalFormatting>
  <conditionalFormatting sqref="BS59:DD61 BX106:CK113 BS188:CP189">
    <cfRule type="cellIs" dxfId="3" priority="108" stopIfTrue="1" operator="equal">
      <formula>FALSE</formula>
    </cfRule>
  </conditionalFormatting>
  <conditionalFormatting sqref="CD57:CT57">
    <cfRule type="expression" dxfId="2" priority="88">
      <formula>$B$138=0</formula>
    </cfRule>
    <cfRule type="cellIs" dxfId="1" priority="87" operator="equal">
      <formula>0</formula>
    </cfRule>
  </conditionalFormatting>
  <conditionalFormatting sqref="CM103:DC103">
    <cfRule type="expression" dxfId="0" priority="82">
      <formula>$B$138=0</formula>
    </cfRule>
  </conditionalFormatting>
  <dataValidations count="9">
    <dataValidation type="decimal" allowBlank="1" showInputMessage="1" showErrorMessage="1" sqref="B138" xr:uid="{00000000-0002-0000-0800-000000000000}">
      <formula1>-89.9</formula1>
      <formula2>89.9</formula2>
    </dataValidation>
    <dataValidation type="whole" allowBlank="1" showInputMessage="1" showErrorMessage="1" errorTitle="Coda Audio" error="YOU HAVE ENTERED A WRONG NUMBER OF CABINETS" promptTitle="Coda Audio" prompt="ENTER THE NUMBER OF CABINETS FROM 1 UP TO 8" sqref="B182" xr:uid="{00000000-0002-0000-0800-000001000000}">
      <formula1>1</formula1>
      <formula2>8</formula2>
    </dataValidation>
    <dataValidation type="decimal" allowBlank="1" showInputMessage="1" showErrorMessage="1" sqref="F151:F174 G186:G192 G150:G174" xr:uid="{00000000-0002-0000-0800-000002000000}">
      <formula1>0</formula1>
      <formula2>8</formula2>
    </dataValidation>
    <dataValidation type="decimal" allowBlank="1" showInputMessage="1" showErrorMessage="1" sqref="D149 F186:F192 F149:G149 F185:G185" xr:uid="{00000000-0002-0000-0800-000003000000}">
      <formula1>0</formula1>
      <formula2>4</formula2>
    </dataValidation>
    <dataValidation type="whole" allowBlank="1" showInputMessage="1" showErrorMessage="1" sqref="D187:D192" xr:uid="{00000000-0002-0000-0800-000004000000}">
      <formula1>0</formula1>
      <formula2>10</formula2>
    </dataValidation>
    <dataValidation type="whole" allowBlank="1" showInputMessage="1" showErrorMessage="1" errorTitle="Coda Audio" error="YOU HAVE ENTERED A WRONG NUMBER OF CABINETS" promptTitle="Coda Audio" prompt="ENTER THE NUMBER OF CABINETS FROM 1 UP TO 26" sqref="B146" xr:uid="{00000000-0002-0000-0800-000005000000}">
      <formula1>1</formula1>
      <formula2>26</formula2>
    </dataValidation>
    <dataValidation type="custom" allowBlank="1" showInputMessage="1" showErrorMessage="1" sqref="D185" xr:uid="{00000000-0002-0000-0800-000006000000}">
      <formula1>OR(D185=0.5,D185=1,D185=2,D185=2.5,D185=3,D185=4,D185=5,D185=5.5,D185=6.5,D185=7.5,D185=9,D185=10)</formula1>
    </dataValidation>
    <dataValidation type="whole" allowBlank="1" showInputMessage="1" showErrorMessage="1" sqref="D186" xr:uid="{00000000-0002-0000-0800-000007000000}">
      <formula1>0</formula1>
      <formula2>5</formula2>
    </dataValidation>
    <dataValidation type="custom" allowBlank="1" showInputMessage="1" showErrorMessage="1" sqref="D150:D174" xr:uid="{00000000-0002-0000-0800-000008000000}">
      <formula1>OR(D150=0.5,D150=1,D150=2,D150=2.5,D150=3,D150=4,D150=5,D150=6,D150=7,D150=8,D150=9,D150=10)</formula1>
    </dataValidation>
  </dataValidations>
  <pageMargins left="0.7" right="0.7" top="0.75" bottom="0.75" header="0.3" footer="0.3"/>
  <pageSetup orientation="portrait" horizontalDpi="0" verticalDpi="0" r:id="rId1"/>
  <ignoredErrors>
    <ignoredError sqref="BP30:BQ30 BP33:BQ33 BP35:BQ56 BP34 BP58:BQ61 BP57 BP62:BP63 BP28:BP29 BP31:BP32 AB149:AC168 AE149 AE150:AH150 AJ149:AJ168 AM149:AM168 AO149:AO168 BA149:BB168 AB185:AJ185 AB186:AE192 BA185:BB193 AG149:AH149 AE158:AH159 AE151:AE157 AG151:AH157 AG160:AH166 AE160:AE168 AH167 AG168:AH168 AG186:AO192 AL185:AO185 AQ186:AY192 AR149:AY168 AB193:AY193 AQ185:AX185" unlockedFormula="1"/>
  </ignoredErrors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Arbeitsblätter</vt:lpstr>
      </vt:variant>
      <vt:variant>
        <vt:i4>9</vt:i4>
      </vt:variant>
    </vt:vector>
  </HeadingPairs>
  <TitlesOfParts>
    <vt:vector size="9" baseType="lpstr">
      <vt:lpstr>CiRAY with FR AR</vt:lpstr>
      <vt:lpstr>CiRAY with FRT AR</vt:lpstr>
      <vt:lpstr>SCV F+CiRAY</vt:lpstr>
      <vt:lpstr>SC2 F+CiRAY</vt:lpstr>
      <vt:lpstr>CiRAY+SCV F+CiRAY</vt:lpstr>
      <vt:lpstr>CiRAY+SC2 F+CiRAY</vt:lpstr>
      <vt:lpstr>SCV F+CiRAY with CR LINK</vt:lpstr>
      <vt:lpstr>SC2 F+CiRAY with CR LINK</vt:lpstr>
      <vt:lpstr>CiRAY+ViRAY with VR AR LINK</vt:lpstr>
    </vt:vector>
  </TitlesOfParts>
  <Company>CODA AUDIO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Stanislav</dc:creator>
  <cp:lastModifiedBy>Edgar Krueger</cp:lastModifiedBy>
  <dcterms:created xsi:type="dcterms:W3CDTF">2009-10-07T12:24:30Z</dcterms:created>
  <dcterms:modified xsi:type="dcterms:W3CDTF">2023-11-07T08:52:32Z</dcterms:modified>
</cp:coreProperties>
</file>